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M:\arti\Productinfo\2023-026 Panelen update\Dream_Slim Edge\"/>
    </mc:Choice>
  </mc:AlternateContent>
  <xr:revisionPtr revIDLastSave="0" documentId="8_{4B3BD801-CA25-4028-91BC-C0E6730C674C}" xr6:coauthVersionLast="47" xr6:coauthVersionMax="47" xr10:uidLastSave="{00000000-0000-0000-0000-000000000000}"/>
  <workbookProtection lockStructure="1"/>
  <bookViews>
    <workbookView xWindow="28680" yWindow="-120" windowWidth="29040" windowHeight="15840" tabRatio="883" activeTab="1"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7" l="1"/>
  <c r="E34" i="7"/>
  <c r="F33" i="7"/>
  <c r="E33" i="7"/>
  <c r="L10" i="3"/>
  <c r="F32" i="7"/>
  <c r="F31" i="7"/>
  <c r="F30" i="7"/>
  <c r="F29" i="7"/>
  <c r="E25" i="7"/>
  <c r="I25" i="7"/>
  <c r="E24" i="7"/>
  <c r="I24" i="7"/>
  <c r="E23" i="7"/>
  <c r="I23" i="7"/>
  <c r="E22" i="7"/>
  <c r="I22" i="7"/>
  <c r="E21" i="7"/>
  <c r="I21" i="7"/>
  <c r="E20" i="7"/>
  <c r="I20" i="7"/>
  <c r="E19" i="7"/>
  <c r="I19" i="7"/>
  <c r="E18" i="7"/>
  <c r="I18" i="7"/>
  <c r="E17" i="7"/>
  <c r="I17" i="7"/>
  <c r="E16" i="7"/>
  <c r="I16" i="7"/>
  <c r="E15" i="7"/>
  <c r="I15" i="7"/>
  <c r="E14" i="7"/>
  <c r="I14" i="7"/>
  <c r="E13" i="7"/>
  <c r="E12" i="7"/>
  <c r="E11" i="7"/>
  <c r="E10" i="7"/>
  <c r="E9" i="7"/>
  <c r="E8" i="7"/>
  <c r="E7" i="7"/>
  <c r="C7" i="7"/>
  <c r="E6" i="7"/>
  <c r="I6" i="7"/>
  <c r="D6" i="7"/>
  <c r="C6" i="7"/>
  <c r="C4" i="7"/>
  <c r="E34" i="6"/>
  <c r="I11" i="3"/>
  <c r="E33" i="6"/>
  <c r="I10" i="3"/>
  <c r="E25" i="6"/>
  <c r="I25" i="6"/>
  <c r="E24" i="6"/>
  <c r="I24" i="6"/>
  <c r="E23" i="6"/>
  <c r="I23" i="6"/>
  <c r="E22" i="6"/>
  <c r="I22" i="6"/>
  <c r="E21" i="6"/>
  <c r="I21" i="6"/>
  <c r="E20" i="6"/>
  <c r="I20" i="6"/>
  <c r="E19" i="6"/>
  <c r="I19" i="6"/>
  <c r="E18" i="6"/>
  <c r="I18" i="6"/>
  <c r="E17" i="6"/>
  <c r="I17" i="6"/>
  <c r="E16" i="6"/>
  <c r="I16" i="6"/>
  <c r="E15" i="6"/>
  <c r="I15" i="6"/>
  <c r="E14" i="6"/>
  <c r="I14" i="6"/>
  <c r="E13" i="6"/>
  <c r="E12" i="6"/>
  <c r="E11" i="6"/>
  <c r="E10" i="6"/>
  <c r="E9" i="6"/>
  <c r="E8" i="6"/>
  <c r="E7" i="6"/>
  <c r="C7" i="6"/>
  <c r="E6" i="6"/>
  <c r="I6" i="6"/>
  <c r="D6" i="6"/>
  <c r="C6" i="6"/>
  <c r="C4" i="6"/>
  <c r="E34" i="5"/>
  <c r="F11" i="3"/>
  <c r="E33" i="5"/>
  <c r="F10" i="3"/>
  <c r="E25" i="5"/>
  <c r="J25" i="5"/>
  <c r="E24" i="5"/>
  <c r="E23" i="5"/>
  <c r="E22" i="5"/>
  <c r="D23" i="5"/>
  <c r="E21" i="5"/>
  <c r="E20" i="5"/>
  <c r="E19" i="5"/>
  <c r="E18" i="5"/>
  <c r="D19" i="5"/>
  <c r="E17" i="5"/>
  <c r="E16" i="5"/>
  <c r="E15" i="5"/>
  <c r="E14" i="5"/>
  <c r="D15" i="5"/>
  <c r="E13" i="5"/>
  <c r="E12" i="5"/>
  <c r="E11" i="5"/>
  <c r="E10" i="5"/>
  <c r="D11" i="5"/>
  <c r="E9" i="5"/>
  <c r="E8" i="5"/>
  <c r="E7" i="5"/>
  <c r="C7" i="5"/>
  <c r="E6" i="5"/>
  <c r="J6" i="5"/>
  <c r="D6" i="5"/>
  <c r="C6" i="5"/>
  <c r="C4" i="5"/>
  <c r="L25" i="13"/>
  <c r="I22" i="13"/>
  <c r="F22" i="13"/>
  <c r="C22" i="13"/>
  <c r="I21" i="13"/>
  <c r="F21" i="13"/>
  <c r="I20" i="13"/>
  <c r="F20" i="13"/>
  <c r="M6" i="3"/>
  <c r="J19" i="13"/>
  <c r="I19" i="13"/>
  <c r="F19" i="13"/>
  <c r="G6" i="3"/>
  <c r="D19" i="13"/>
  <c r="I18" i="13"/>
  <c r="F18" i="13"/>
  <c r="I17" i="13"/>
  <c r="F17" i="13"/>
  <c r="I16" i="13"/>
  <c r="F13" i="13"/>
  <c r="G16" i="13"/>
  <c r="F16" i="13"/>
  <c r="I15" i="13"/>
  <c r="G15" i="13"/>
  <c r="F15" i="13"/>
  <c r="I14" i="13"/>
  <c r="F14" i="13"/>
  <c r="I13" i="13"/>
  <c r="J18" i="13"/>
  <c r="G14" i="13"/>
  <c r="C13" i="13"/>
  <c r="D15" i="13"/>
  <c r="F10" i="13"/>
  <c r="I8" i="8"/>
  <c r="I12" i="8"/>
  <c r="H12" i="8"/>
  <c r="E12" i="8"/>
  <c r="B12" i="8"/>
  <c r="I11" i="8"/>
  <c r="H11" i="8"/>
  <c r="E11" i="8"/>
  <c r="B11" i="8"/>
  <c r="I10" i="8"/>
  <c r="I9" i="8"/>
  <c r="F8" i="8"/>
  <c r="C8" i="8"/>
  <c r="I7" i="8"/>
  <c r="I6" i="8"/>
  <c r="F6" i="8"/>
  <c r="C6" i="8"/>
  <c r="I5" i="8"/>
  <c r="F5" i="8"/>
  <c r="C5" i="8"/>
  <c r="I18" i="2"/>
  <c r="C4" i="8"/>
  <c r="I3" i="8"/>
  <c r="F3" i="8"/>
  <c r="C3" i="8"/>
  <c r="I2" i="8"/>
  <c r="F2" i="8"/>
  <c r="C2" i="8"/>
  <c r="B18" i="3"/>
  <c r="B17" i="3"/>
  <c r="C15" i="3"/>
  <c r="L13" i="8"/>
  <c r="M22" i="13"/>
  <c r="L11" i="3"/>
  <c r="C11" i="3"/>
  <c r="L9" i="3"/>
  <c r="I9" i="3"/>
  <c r="F9" i="3"/>
  <c r="L8" i="3"/>
  <c r="I8" i="3"/>
  <c r="F8" i="3"/>
  <c r="J6" i="3"/>
  <c r="J7" i="3"/>
  <c r="G7" i="3"/>
  <c r="M11" i="3"/>
  <c r="J22" i="13"/>
  <c r="G19" i="13"/>
  <c r="C2" i="3"/>
  <c r="H42" i="2"/>
  <c r="J34" i="2"/>
  <c r="J33" i="2"/>
  <c r="H24" i="2"/>
  <c r="I4" i="8"/>
  <c r="Q8" i="2"/>
  <c r="N8" i="2"/>
  <c r="K8" i="2"/>
  <c r="F7" i="8"/>
  <c r="D20" i="5"/>
  <c r="C20" i="5"/>
  <c r="J16" i="6"/>
  <c r="J18" i="6"/>
  <c r="J20" i="6"/>
  <c r="J22" i="6"/>
  <c r="J24" i="6"/>
  <c r="D14" i="13"/>
  <c r="D16" i="5"/>
  <c r="C16" i="5"/>
  <c r="D21" i="5"/>
  <c r="C21" i="5"/>
  <c r="D24" i="5"/>
  <c r="C24" i="5"/>
  <c r="D10" i="6"/>
  <c r="D16" i="13"/>
  <c r="D17" i="13"/>
  <c r="D14" i="5"/>
  <c r="C15" i="5"/>
  <c r="F14" i="6"/>
  <c r="G14" i="6"/>
  <c r="H14" i="6"/>
  <c r="F16" i="6"/>
  <c r="F18" i="6"/>
  <c r="F20" i="6"/>
  <c r="F22" i="6"/>
  <c r="F24" i="6"/>
  <c r="J14" i="13"/>
  <c r="M7" i="3"/>
  <c r="M8" i="3"/>
  <c r="J20" i="13"/>
  <c r="M9" i="3"/>
  <c r="J21" i="13"/>
  <c r="M10" i="3"/>
  <c r="F4" i="8"/>
  <c r="J15" i="13"/>
  <c r="G17" i="13"/>
  <c r="F13" i="5"/>
  <c r="G13" i="5"/>
  <c r="H13" i="5"/>
  <c r="D17" i="5"/>
  <c r="D25" i="5"/>
  <c r="J17" i="13"/>
  <c r="J16" i="13"/>
  <c r="D9" i="5"/>
  <c r="D13" i="5"/>
  <c r="J13" i="5"/>
  <c r="D18" i="5"/>
  <c r="C19" i="5"/>
  <c r="D22" i="5"/>
  <c r="C23" i="5"/>
  <c r="D12" i="6"/>
  <c r="H6" i="6"/>
  <c r="D15" i="6"/>
  <c r="F15" i="6"/>
  <c r="G15" i="6"/>
  <c r="H16" i="6"/>
  <c r="D17" i="6"/>
  <c r="F17" i="6"/>
  <c r="J17" i="6"/>
  <c r="H18" i="6"/>
  <c r="D19" i="6"/>
  <c r="F19" i="6"/>
  <c r="J19" i="6"/>
  <c r="H20" i="6"/>
  <c r="D21" i="6"/>
  <c r="F21" i="6"/>
  <c r="J21" i="6"/>
  <c r="H22" i="6"/>
  <c r="D23" i="6"/>
  <c r="F23" i="6"/>
  <c r="J23" i="6"/>
  <c r="H24" i="6"/>
  <c r="D25" i="6"/>
  <c r="F25" i="6"/>
  <c r="J25" i="6"/>
  <c r="F6" i="6"/>
  <c r="J6" i="6"/>
  <c r="D16" i="6"/>
  <c r="H17" i="6"/>
  <c r="D18" i="6"/>
  <c r="C19" i="6"/>
  <c r="H19" i="6"/>
  <c r="D20" i="6"/>
  <c r="H21" i="6"/>
  <c r="D22" i="6"/>
  <c r="C23" i="6"/>
  <c r="H23" i="6"/>
  <c r="D24" i="6"/>
  <c r="H25" i="6"/>
  <c r="C25" i="5"/>
  <c r="I14" i="5"/>
  <c r="I16" i="5"/>
  <c r="I18" i="5"/>
  <c r="I19" i="5"/>
  <c r="I20" i="5"/>
  <c r="I21" i="5"/>
  <c r="I22" i="5"/>
  <c r="I23" i="5"/>
  <c r="I24" i="5"/>
  <c r="I25" i="5"/>
  <c r="I13" i="6"/>
  <c r="D14" i="6"/>
  <c r="I6" i="5"/>
  <c r="I15" i="5"/>
  <c r="I17" i="5"/>
  <c r="F6" i="5"/>
  <c r="G6" i="5"/>
  <c r="H6" i="5"/>
  <c r="E26" i="5"/>
  <c r="D10" i="5"/>
  <c r="C10" i="5"/>
  <c r="D12" i="5"/>
  <c r="C12" i="5"/>
  <c r="I13" i="5"/>
  <c r="F14" i="5"/>
  <c r="G14" i="5"/>
  <c r="J14" i="5"/>
  <c r="H14" i="5"/>
  <c r="F15" i="5"/>
  <c r="G15" i="5"/>
  <c r="J15" i="5"/>
  <c r="H15" i="5"/>
  <c r="F16" i="5"/>
  <c r="G16" i="5"/>
  <c r="H16" i="5"/>
  <c r="J16" i="5"/>
  <c r="F17" i="5"/>
  <c r="G17" i="5"/>
  <c r="H17" i="5"/>
  <c r="J17" i="5"/>
  <c r="F18" i="5"/>
  <c r="G18" i="5"/>
  <c r="H18" i="5"/>
  <c r="J18" i="5"/>
  <c r="F19" i="5"/>
  <c r="G19" i="5"/>
  <c r="H19" i="5"/>
  <c r="J19" i="5"/>
  <c r="F20" i="5"/>
  <c r="G20" i="5"/>
  <c r="H20" i="5"/>
  <c r="J20" i="5"/>
  <c r="F21" i="5"/>
  <c r="G21" i="5"/>
  <c r="H21" i="5"/>
  <c r="J21" i="5"/>
  <c r="F22" i="5"/>
  <c r="G22" i="5"/>
  <c r="H22" i="5"/>
  <c r="J22" i="5"/>
  <c r="F23" i="5"/>
  <c r="G23" i="5"/>
  <c r="H23" i="5"/>
  <c r="J23" i="5"/>
  <c r="F24" i="5"/>
  <c r="G24" i="5"/>
  <c r="H24" i="5"/>
  <c r="J24" i="5"/>
  <c r="F25" i="5"/>
  <c r="G25" i="5"/>
  <c r="H25" i="5"/>
  <c r="G6" i="6"/>
  <c r="D9" i="6"/>
  <c r="D11" i="6"/>
  <c r="C12" i="6"/>
  <c r="D13" i="6"/>
  <c r="F13" i="6"/>
  <c r="G13" i="6"/>
  <c r="G16" i="6"/>
  <c r="G17" i="6"/>
  <c r="G18" i="6"/>
  <c r="G19" i="6"/>
  <c r="G20" i="6"/>
  <c r="G21" i="6"/>
  <c r="G22" i="6"/>
  <c r="G23" i="6"/>
  <c r="G24" i="6"/>
  <c r="G25" i="6"/>
  <c r="D9" i="7"/>
  <c r="D10" i="7"/>
  <c r="C10" i="7"/>
  <c r="D11" i="7"/>
  <c r="D13" i="7"/>
  <c r="C6" i="3"/>
  <c r="L14" i="8"/>
  <c r="M23" i="13"/>
  <c r="C3" i="3"/>
  <c r="D14" i="7"/>
  <c r="F13" i="7"/>
  <c r="J13" i="7"/>
  <c r="H13" i="7"/>
  <c r="F6" i="7"/>
  <c r="H6" i="7"/>
  <c r="J6" i="7"/>
  <c r="E26" i="7"/>
  <c r="D12" i="7"/>
  <c r="G13" i="7"/>
  <c r="I13" i="7"/>
  <c r="F14" i="7"/>
  <c r="H14" i="7"/>
  <c r="J14" i="7"/>
  <c r="D15" i="7"/>
  <c r="F15" i="7"/>
  <c r="H15" i="7"/>
  <c r="J15" i="7"/>
  <c r="D16" i="7"/>
  <c r="F16" i="7"/>
  <c r="H16" i="7"/>
  <c r="J16" i="7"/>
  <c r="D17" i="7"/>
  <c r="F17" i="7"/>
  <c r="H17" i="7"/>
  <c r="J17" i="7"/>
  <c r="D18" i="7"/>
  <c r="F18" i="7"/>
  <c r="H18" i="7"/>
  <c r="J18" i="7"/>
  <c r="D19" i="7"/>
  <c r="F19" i="7"/>
  <c r="H19" i="7"/>
  <c r="J19" i="7"/>
  <c r="D20" i="7"/>
  <c r="F20" i="7"/>
  <c r="H20" i="7"/>
  <c r="J20" i="7"/>
  <c r="D21" i="7"/>
  <c r="F21" i="7"/>
  <c r="H21" i="7"/>
  <c r="J21" i="7"/>
  <c r="D22" i="7"/>
  <c r="F22" i="7"/>
  <c r="H22" i="7"/>
  <c r="J22" i="7"/>
  <c r="D23" i="7"/>
  <c r="F23" i="7"/>
  <c r="H23" i="7"/>
  <c r="J23" i="7"/>
  <c r="D24" i="7"/>
  <c r="F24" i="7"/>
  <c r="H24" i="7"/>
  <c r="J24" i="7"/>
  <c r="D25" i="7"/>
  <c r="F25" i="7"/>
  <c r="H25" i="7"/>
  <c r="J25" i="7"/>
  <c r="G6" i="7"/>
  <c r="C14" i="7"/>
  <c r="G14" i="7"/>
  <c r="G15" i="7"/>
  <c r="G16" i="7"/>
  <c r="G17" i="7"/>
  <c r="G18" i="7"/>
  <c r="G19" i="7"/>
  <c r="G20" i="7"/>
  <c r="G21" i="7"/>
  <c r="G22" i="7"/>
  <c r="G23" i="7"/>
  <c r="G24" i="7"/>
  <c r="G25" i="7"/>
  <c r="I8" i="5"/>
  <c r="I10" i="5"/>
  <c r="I7" i="6"/>
  <c r="I8" i="6"/>
  <c r="I10" i="6"/>
  <c r="I11" i="6"/>
  <c r="I12" i="6"/>
  <c r="I7" i="7"/>
  <c r="I8" i="7"/>
  <c r="I9" i="7"/>
  <c r="I10" i="7"/>
  <c r="I11" i="7"/>
  <c r="I12" i="7"/>
  <c r="I7" i="5"/>
  <c r="I9" i="5"/>
  <c r="I11" i="5"/>
  <c r="I12" i="5"/>
  <c r="I9" i="6"/>
  <c r="C7" i="8"/>
  <c r="D18" i="13"/>
  <c r="G18" i="13"/>
  <c r="D7" i="5"/>
  <c r="F7" i="5"/>
  <c r="D8" i="5"/>
  <c r="F8" i="5"/>
  <c r="G8" i="5"/>
  <c r="H8" i="5"/>
  <c r="J8" i="5"/>
  <c r="F9" i="5"/>
  <c r="G9" i="5"/>
  <c r="H9" i="5"/>
  <c r="J9" i="5"/>
  <c r="F10" i="5"/>
  <c r="G10" i="5"/>
  <c r="H10" i="5"/>
  <c r="F11" i="5"/>
  <c r="G11" i="5"/>
  <c r="H11" i="5"/>
  <c r="J11" i="5"/>
  <c r="F12" i="5"/>
  <c r="G12" i="5"/>
  <c r="H12" i="5"/>
  <c r="D7" i="6"/>
  <c r="F7" i="6"/>
  <c r="D8" i="6"/>
  <c r="F8" i="6"/>
  <c r="G8" i="6"/>
  <c r="F9" i="6"/>
  <c r="G9" i="6"/>
  <c r="F10" i="6"/>
  <c r="G10" i="6"/>
  <c r="F11" i="6"/>
  <c r="G11" i="6"/>
  <c r="F12" i="6"/>
  <c r="G12" i="6"/>
  <c r="E26" i="6"/>
  <c r="D7" i="7"/>
  <c r="F7" i="7"/>
  <c r="G7" i="7"/>
  <c r="D8" i="7"/>
  <c r="F8" i="7"/>
  <c r="G8" i="7"/>
  <c r="F9" i="7"/>
  <c r="G9" i="7"/>
  <c r="F10" i="7"/>
  <c r="G10" i="7"/>
  <c r="F11" i="7"/>
  <c r="G11" i="7"/>
  <c r="F12" i="7"/>
  <c r="G12" i="7"/>
  <c r="H15" i="6"/>
  <c r="J15" i="6"/>
  <c r="J13" i="6"/>
  <c r="H13" i="6"/>
  <c r="C15" i="6"/>
  <c r="J14" i="6"/>
  <c r="C17" i="5"/>
  <c r="C14" i="5"/>
  <c r="C13" i="5"/>
  <c r="C13" i="7"/>
  <c r="C10" i="6"/>
  <c r="C11" i="5"/>
  <c r="C22" i="5"/>
  <c r="C9" i="7"/>
  <c r="J12" i="5"/>
  <c r="C9" i="5"/>
  <c r="C9" i="6"/>
  <c r="J10" i="5"/>
  <c r="C11" i="6"/>
  <c r="C14" i="6"/>
  <c r="C25" i="6"/>
  <c r="C21" i="6"/>
  <c r="C17" i="6"/>
  <c r="C18" i="5"/>
  <c r="C11" i="7"/>
  <c r="C24" i="6"/>
  <c r="C22" i="6"/>
  <c r="C20" i="6"/>
  <c r="C18" i="6"/>
  <c r="C16" i="6"/>
  <c r="C13" i="6"/>
  <c r="L2" i="8"/>
  <c r="M11" i="13"/>
  <c r="L3" i="8"/>
  <c r="M12" i="13"/>
  <c r="L7" i="8"/>
  <c r="M16" i="13"/>
  <c r="L6" i="8"/>
  <c r="M15" i="13"/>
  <c r="C12" i="7"/>
  <c r="J12" i="7"/>
  <c r="H12" i="7"/>
  <c r="J10" i="7"/>
  <c r="H10" i="7"/>
  <c r="J8" i="7"/>
  <c r="H8" i="7"/>
  <c r="J7" i="7"/>
  <c r="H7" i="7"/>
  <c r="H11" i="7"/>
  <c r="J11" i="7"/>
  <c r="H9" i="7"/>
  <c r="J9" i="7"/>
  <c r="C25" i="7"/>
  <c r="C24" i="7"/>
  <c r="C23" i="7"/>
  <c r="C22" i="7"/>
  <c r="C21" i="7"/>
  <c r="C20" i="7"/>
  <c r="C19" i="7"/>
  <c r="C18" i="7"/>
  <c r="C17" i="7"/>
  <c r="C16" i="7"/>
  <c r="C15" i="7"/>
  <c r="J12" i="6"/>
  <c r="H12" i="6"/>
  <c r="J10" i="6"/>
  <c r="H10" i="6"/>
  <c r="J8" i="6"/>
  <c r="H8" i="6"/>
  <c r="H11" i="6"/>
  <c r="J11" i="6"/>
  <c r="H9" i="6"/>
  <c r="J9" i="6"/>
  <c r="F26" i="7"/>
  <c r="C8" i="6"/>
  <c r="C8" i="5"/>
  <c r="C26" i="5"/>
  <c r="I26" i="7"/>
  <c r="I26" i="6"/>
  <c r="F26" i="5"/>
  <c r="G7" i="5"/>
  <c r="C8" i="7"/>
  <c r="F26" i="6"/>
  <c r="I26" i="5"/>
  <c r="G26" i="7"/>
  <c r="G7" i="6"/>
  <c r="H26" i="7"/>
  <c r="C26" i="6"/>
  <c r="C26" i="7"/>
  <c r="J26" i="7"/>
  <c r="G26" i="6"/>
  <c r="J7" i="6"/>
  <c r="J26" i="6"/>
  <c r="H7" i="6"/>
  <c r="H26" i="6"/>
  <c r="G26" i="5"/>
  <c r="J7" i="5"/>
  <c r="J26" i="5"/>
  <c r="H7" i="5"/>
  <c r="H26" i="5"/>
  <c r="K30" i="2"/>
  <c r="F29" i="6"/>
  <c r="F31" i="6"/>
  <c r="J8" i="3"/>
  <c r="F29" i="5"/>
  <c r="F31" i="5"/>
  <c r="G8" i="3"/>
  <c r="C9" i="8"/>
  <c r="F30" i="6"/>
  <c r="F32" i="6"/>
  <c r="J9" i="3"/>
  <c r="F30" i="5"/>
  <c r="F32" i="5"/>
  <c r="C10" i="8"/>
  <c r="F9" i="8"/>
  <c r="D20" i="13"/>
  <c r="C4" i="3"/>
  <c r="G20" i="13"/>
  <c r="C7" i="3"/>
  <c r="L8" i="8"/>
  <c r="M17" i="13"/>
  <c r="F10" i="8"/>
  <c r="F33" i="6"/>
  <c r="J10" i="3"/>
  <c r="G9" i="3"/>
  <c r="D21" i="13"/>
  <c r="F33" i="5"/>
  <c r="F34" i="5"/>
  <c r="G21" i="13"/>
  <c r="C8" i="3"/>
  <c r="L9" i="8"/>
  <c r="M18" i="13"/>
  <c r="L4" i="8"/>
  <c r="M13" i="13"/>
  <c r="C9" i="3"/>
  <c r="F11" i="8"/>
  <c r="F34" i="6"/>
  <c r="J11" i="3"/>
  <c r="G22" i="13"/>
  <c r="G10" i="3"/>
  <c r="C5" i="3"/>
  <c r="C14" i="3"/>
  <c r="C11" i="8"/>
  <c r="C12" i="8"/>
  <c r="G11" i="3"/>
  <c r="D22" i="13"/>
  <c r="L10" i="8"/>
  <c r="M19" i="13"/>
  <c r="C12" i="3"/>
  <c r="C13" i="3"/>
  <c r="C25" i="13"/>
  <c r="F12" i="8"/>
  <c r="L5" i="8"/>
  <c r="M14" i="13"/>
  <c r="L12" i="8"/>
  <c r="M21" i="13"/>
  <c r="L11" i="8"/>
  <c r="M20" i="13"/>
  <c r="C16" i="3"/>
  <c r="L15" i="8"/>
  <c r="M24" i="13"/>
  <c r="I41" i="2"/>
  <c r="C17" i="3"/>
  <c r="C18" i="3"/>
  <c r="I42" i="2"/>
  <c r="M25" i="13"/>
  <c r="J41" i="2"/>
</calcChain>
</file>

<file path=xl/sharedStrings.xml><?xml version="1.0" encoding="utf-8"?>
<sst xmlns="http://schemas.openxmlformats.org/spreadsheetml/2006/main" count="168" uniqueCount="102">
  <si>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</si>
  <si>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</si>
  <si>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TM-21 Inputs</t>
  </si>
  <si>
    <t>LM-80 Test Inputs</t>
  </si>
  <si>
    <t>Instructions</t>
  </si>
  <si>
    <t>Description of LED Light Source Tested 
(manufacturer, model, catalog number)</t>
  </si>
  <si>
    <r>
      <rPr>
        <sz val="14"/>
        <color theme="1"/>
        <rFont val="Arial"/>
        <family val="2"/>
      </rP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</si>
  <si>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Time (hours)</t>
  </si>
  <si>
    <t>Lumen Maintenance (%)</t>
  </si>
  <si>
    <t>LM-80 Testing Details</t>
  </si>
  <si>
    <t>Total number of units tested per case temperature:</t>
  </si>
  <si>
    <t>Number of failures:</t>
  </si>
  <si>
    <t>Number of units measured:</t>
  </si>
  <si>
    <t>Test duration (hours):</t>
  </si>
  <si>
    <t>Tested drive current (mA):</t>
  </si>
  <si>
    <r>
      <rPr>
        <sz val="14"/>
        <color theme="1"/>
        <rFont val="Arial"/>
        <family val="2"/>
      </rPr>
      <t>Tested case temperature 1 (T</t>
    </r>
    <r>
      <rPr>
        <vertAlign val="subscript"/>
        <sz val="14"/>
        <color theme="1"/>
        <rFont val="Arial"/>
        <family val="2"/>
      </rPr>
      <t>c</t>
    </r>
    <r>
      <rPr>
        <sz val="14"/>
        <color theme="1"/>
        <rFont val="Arial"/>
        <family val="2"/>
      </rPr>
      <t>, ⁰C):</t>
    </r>
  </si>
  <si>
    <r>
      <rPr>
        <sz val="14"/>
        <color theme="1"/>
        <rFont val="Arial"/>
        <family val="2"/>
      </rPr>
      <t>Tested case temperature 2 (T</t>
    </r>
    <r>
      <rPr>
        <vertAlign val="subscript"/>
        <sz val="14"/>
        <color theme="1"/>
        <rFont val="Arial"/>
        <family val="2"/>
      </rPr>
      <t>c</t>
    </r>
    <r>
      <rPr>
        <sz val="14"/>
        <color theme="1"/>
        <rFont val="Arial"/>
        <family val="2"/>
      </rPr>
      <t>, ⁰C):</t>
    </r>
  </si>
  <si>
    <r>
      <rPr>
        <sz val="14"/>
        <color theme="1"/>
        <rFont val="Arial"/>
        <family val="2"/>
      </rPr>
      <t>Tested case temperature 3 (T</t>
    </r>
    <r>
      <rPr>
        <vertAlign val="subscript"/>
        <sz val="14"/>
        <color theme="1"/>
        <rFont val="Arial"/>
        <family val="2"/>
      </rPr>
      <t>c</t>
    </r>
    <r>
      <rPr>
        <sz val="14"/>
        <color theme="1"/>
        <rFont val="Arial"/>
        <family val="2"/>
      </rPr>
      <t>, ⁰C):</t>
    </r>
  </si>
  <si>
    <r>
      <rPr>
        <b/>
        <i/>
        <sz val="20"/>
        <color theme="1"/>
        <rFont val="Arial"/>
        <family val="2"/>
      </rPr>
      <t xml:space="preserve">In-Situ </t>
    </r>
    <r>
      <rPr>
        <b/>
        <sz val="20"/>
        <color theme="1"/>
        <rFont val="Arial"/>
        <family val="2"/>
      </rPr>
      <t>Inputs</t>
    </r>
  </si>
  <si>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</si>
  <si>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</si>
  <si>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rPr>
        <sz val="14"/>
        <color theme="1"/>
        <rFont val="Arial"/>
        <family val="2"/>
      </rPr>
      <t>Percentage of initial lumens to project to (e.g. for L</t>
    </r>
    <r>
      <rPr>
        <vertAlign val="subscript"/>
        <sz val="14"/>
        <color theme="1"/>
        <rFont val="Arial"/>
        <family val="2"/>
      </rPr>
      <t>70</t>
    </r>
    <r>
      <rPr>
        <sz val="14"/>
        <color theme="1"/>
        <rFont val="Arial"/>
        <family val="2"/>
      </rPr>
      <t>, enter 70):</t>
    </r>
  </si>
  <si>
    <t>Results</t>
  </si>
  <si>
    <t>Time (t) at which to estimate lumen maintenance (hours):</t>
  </si>
  <si>
    <t>Lumen maintenance at time (t) (%):</t>
  </si>
  <si>
    <t>Calculations:</t>
  </si>
  <si>
    <r>
      <rPr>
        <sz val="11"/>
        <color theme="1"/>
        <rFont val="宋体"/>
        <family val="3"/>
        <charset val="134"/>
      </rPr>
      <t>Minimum Case Temperature (T</t>
    </r>
    <r>
      <rPr>
        <vertAlign val="subscript"/>
        <sz val="11"/>
        <color theme="1"/>
        <rFont val="宋体"/>
        <family val="3"/>
        <charset val="134"/>
      </rPr>
      <t>s,1</t>
    </r>
    <r>
      <rPr>
        <sz val="11"/>
        <color theme="1"/>
        <rFont val="宋体"/>
        <family val="3"/>
        <charset val="134"/>
      </rPr>
      <t>) for Extrapolation (K):</t>
    </r>
  </si>
  <si>
    <r>
      <rPr>
        <sz val="11"/>
        <color theme="1"/>
        <rFont val="Calibri"/>
        <family val="2"/>
      </rPr>
      <t>α</t>
    </r>
    <r>
      <rPr>
        <vertAlign val="subscript"/>
        <sz val="11"/>
        <color theme="1"/>
        <rFont val="Calibri"/>
        <family val="2"/>
      </rPr>
      <t>1</t>
    </r>
  </si>
  <si>
    <t>Table 1: Report at each LM-80 Test Condition</t>
  </si>
  <si>
    <r>
      <rPr>
        <sz val="11"/>
        <color theme="1"/>
        <rFont val="宋体"/>
        <family val="3"/>
        <charset val="134"/>
      </rPr>
      <t>B</t>
    </r>
    <r>
      <rPr>
        <vertAlign val="subscript"/>
        <sz val="11"/>
        <color theme="1"/>
        <rFont val="宋体"/>
        <family val="3"/>
        <charset val="134"/>
      </rPr>
      <t>1</t>
    </r>
  </si>
  <si>
    <t>Case Temperature 1</t>
  </si>
  <si>
    <t>Case Temperature 2</t>
  </si>
  <si>
    <t>Case Temperature 3</t>
  </si>
  <si>
    <r>
      <rPr>
        <sz val="11"/>
        <color theme="1"/>
        <rFont val="宋体"/>
        <family val="3"/>
        <charset val="134"/>
      </rPr>
      <t>Maximum Case Temperature (T</t>
    </r>
    <r>
      <rPr>
        <vertAlign val="subscript"/>
        <sz val="11"/>
        <color theme="1"/>
        <rFont val="宋体"/>
        <family val="3"/>
        <charset val="134"/>
      </rPr>
      <t>s,2</t>
    </r>
    <r>
      <rPr>
        <sz val="11"/>
        <color theme="1"/>
        <rFont val="宋体"/>
        <family val="3"/>
        <charset val="134"/>
      </rPr>
      <t>) for Extrapolation (K):</t>
    </r>
  </si>
  <si>
    <t>Temperature (⁰C):</t>
  </si>
  <si>
    <r>
      <rPr>
        <sz val="11"/>
        <color theme="1"/>
        <rFont val="Calibri"/>
        <family val="2"/>
      </rPr>
      <t>α</t>
    </r>
    <r>
      <rPr>
        <vertAlign val="subscript"/>
        <sz val="9.35"/>
        <color theme="1"/>
        <rFont val="Calibri"/>
        <family val="2"/>
      </rPr>
      <t>2</t>
    </r>
  </si>
  <si>
    <t>Temperature (⁰K):</t>
  </si>
  <si>
    <r>
      <rPr>
        <sz val="11"/>
        <color theme="1"/>
        <rFont val="宋体"/>
        <family val="3"/>
        <charset val="134"/>
      </rPr>
      <t>B</t>
    </r>
    <r>
      <rPr>
        <vertAlign val="subscript"/>
        <sz val="11"/>
        <color theme="1"/>
        <rFont val="宋体"/>
        <family val="3"/>
        <charset val="134"/>
      </rPr>
      <t>2</t>
    </r>
  </si>
  <si>
    <r>
      <rPr>
        <sz val="11"/>
        <color theme="1"/>
        <rFont val="宋体"/>
        <family val="3"/>
        <charset val="134"/>
      </rPr>
      <t>E</t>
    </r>
    <r>
      <rPr>
        <vertAlign val="subscript"/>
        <sz val="11"/>
        <color theme="1"/>
        <rFont val="宋体"/>
        <family val="3"/>
        <charset val="134"/>
      </rPr>
      <t>a</t>
    </r>
    <r>
      <rPr>
        <sz val="11"/>
        <color theme="1"/>
        <rFont val="宋体"/>
        <family val="3"/>
        <charset val="134"/>
      </rPr>
      <t>/k</t>
    </r>
    <r>
      <rPr>
        <vertAlign val="subscript"/>
        <sz val="11"/>
        <color theme="1"/>
        <rFont val="宋体"/>
        <family val="3"/>
        <charset val="134"/>
      </rPr>
      <t>b</t>
    </r>
  </si>
  <si>
    <r>
      <rPr>
        <sz val="11"/>
        <color theme="1"/>
        <rFont val="宋体"/>
        <family val="3"/>
        <charset val="134"/>
      </rPr>
      <t>k</t>
    </r>
    <r>
      <rPr>
        <vertAlign val="subscript"/>
        <sz val="11"/>
        <color theme="1"/>
        <rFont val="宋体"/>
        <family val="3"/>
        <charset val="134"/>
      </rPr>
      <t>b</t>
    </r>
    <r>
      <rPr>
        <sz val="11"/>
        <color theme="1"/>
        <rFont val="宋体"/>
        <family val="3"/>
        <charset val="134"/>
      </rPr>
      <t xml:space="preserve"> (eV/K)</t>
    </r>
  </si>
  <si>
    <r>
      <rPr>
        <sz val="11"/>
        <color theme="1"/>
        <rFont val="宋体"/>
        <family val="3"/>
        <charset val="134"/>
      </rPr>
      <t>E</t>
    </r>
    <r>
      <rPr>
        <vertAlign val="subscript"/>
        <sz val="11"/>
        <color theme="1"/>
        <rFont val="宋体"/>
        <family val="3"/>
        <charset val="134"/>
      </rPr>
      <t>a</t>
    </r>
    <r>
      <rPr>
        <sz val="11"/>
        <color theme="1"/>
        <rFont val="宋体"/>
        <family val="3"/>
        <charset val="134"/>
      </rPr>
      <t xml:space="preserve"> (eV)</t>
    </r>
  </si>
  <si>
    <t>A</t>
  </si>
  <si>
    <r>
      <rPr>
        <sz val="11"/>
        <color theme="1"/>
        <rFont val="宋体"/>
        <family val="3"/>
        <charset val="134"/>
      </rPr>
      <t>B</t>
    </r>
    <r>
      <rPr>
        <vertAlign val="subscript"/>
        <sz val="11"/>
        <color theme="1"/>
        <rFont val="宋体"/>
        <family val="3"/>
        <charset val="134"/>
      </rPr>
      <t>0</t>
    </r>
  </si>
  <si>
    <t>Table 2: Report for Interpolation (based on in-situ temperature)</t>
  </si>
  <si>
    <r>
      <rPr>
        <sz val="11"/>
        <color theme="1"/>
        <rFont val="宋体"/>
        <family val="3"/>
        <charset val="134"/>
      </rPr>
      <t>In Situ Case Temperature (T</t>
    </r>
    <r>
      <rPr>
        <vertAlign val="subscript"/>
        <sz val="11"/>
        <color theme="1"/>
        <rFont val="宋体"/>
        <family val="3"/>
        <charset val="134"/>
      </rPr>
      <t>s,i</t>
    </r>
    <r>
      <rPr>
        <sz val="11"/>
        <color theme="1"/>
        <rFont val="宋体"/>
        <family val="3"/>
        <charset val="134"/>
      </rPr>
      <t>) (K):</t>
    </r>
  </si>
  <si>
    <r>
      <rPr>
        <sz val="11"/>
        <color theme="1"/>
        <rFont val="Calibri"/>
        <family val="2"/>
      </rPr>
      <t>α</t>
    </r>
    <r>
      <rPr>
        <vertAlign val="subscript"/>
        <sz val="11"/>
        <color theme="1"/>
        <rFont val="Calibri"/>
        <family val="2"/>
      </rPr>
      <t>i</t>
    </r>
  </si>
  <si>
    <t>Number of Samples Tested:</t>
  </si>
  <si>
    <r>
      <rPr>
        <sz val="11"/>
        <color theme="1"/>
        <rFont val="宋体"/>
        <family val="3"/>
        <charset val="134"/>
      </rPr>
      <t>T</t>
    </r>
    <r>
      <rPr>
        <vertAlign val="subscript"/>
        <sz val="11"/>
        <color theme="1"/>
        <rFont val="宋体"/>
        <family val="3"/>
        <charset val="134"/>
      </rPr>
      <t>s,1</t>
    </r>
    <r>
      <rPr>
        <sz val="11"/>
        <color theme="1"/>
        <rFont val="宋体"/>
        <family val="3"/>
        <charset val="134"/>
      </rPr>
      <t xml:space="preserve"> (</t>
    </r>
    <r>
      <rPr>
        <sz val="11"/>
        <color theme="1"/>
        <rFont val="Calibri"/>
        <family val="2"/>
      </rPr>
      <t>⁰C</t>
    </r>
    <r>
      <rPr>
        <sz val="11"/>
        <color theme="1"/>
        <rFont val="宋体"/>
        <family val="3"/>
        <charset val="134"/>
      </rPr>
      <t>)</t>
    </r>
  </si>
  <si>
    <t>Number of Failures:</t>
  </si>
  <si>
    <r>
      <rPr>
        <sz val="11"/>
        <color theme="1"/>
        <rFont val="宋体"/>
        <family val="3"/>
        <charset val="134"/>
      </rPr>
      <t>T</t>
    </r>
    <r>
      <rPr>
        <vertAlign val="subscript"/>
        <sz val="11"/>
        <color theme="1"/>
        <rFont val="宋体"/>
        <family val="3"/>
        <charset val="134"/>
      </rPr>
      <t>s,1</t>
    </r>
    <r>
      <rPr>
        <sz val="11"/>
        <color theme="1"/>
        <rFont val="宋体"/>
        <family val="3"/>
        <charset val="134"/>
      </rPr>
      <t xml:space="preserve"> (K)</t>
    </r>
  </si>
  <si>
    <t>Number of Samples Measured:</t>
  </si>
  <si>
    <t>DUT drive current used in the test (mA):</t>
  </si>
  <si>
    <t>Test duration (hrs):</t>
  </si>
  <si>
    <r>
      <rPr>
        <sz val="11"/>
        <color theme="1"/>
        <rFont val="宋体"/>
        <family val="3"/>
        <charset val="134"/>
      </rPr>
      <t>T</t>
    </r>
    <r>
      <rPr>
        <vertAlign val="subscript"/>
        <sz val="11"/>
        <color theme="1"/>
        <rFont val="宋体"/>
        <family val="3"/>
        <charset val="134"/>
      </rPr>
      <t>s,2</t>
    </r>
    <r>
      <rPr>
        <sz val="11"/>
        <color theme="1"/>
        <rFont val="宋体"/>
        <family val="3"/>
        <charset val="134"/>
      </rPr>
      <t xml:space="preserve"> (⁰C)</t>
    </r>
  </si>
  <si>
    <t>Test duration used for projection (hr to hr):</t>
  </si>
  <si>
    <r>
      <rPr>
        <sz val="11"/>
        <color theme="1"/>
        <rFont val="宋体"/>
        <family val="3"/>
        <charset val="134"/>
      </rPr>
      <t>T</t>
    </r>
    <r>
      <rPr>
        <vertAlign val="subscript"/>
        <sz val="11"/>
        <color theme="1"/>
        <rFont val="宋体"/>
        <family val="3"/>
        <charset val="134"/>
      </rPr>
      <t>s,2</t>
    </r>
    <r>
      <rPr>
        <sz val="11"/>
        <color theme="1"/>
        <rFont val="宋体"/>
        <family val="3"/>
        <charset val="134"/>
      </rPr>
      <t xml:space="preserve"> (K)</t>
    </r>
  </si>
  <si>
    <t>Tested case temperature (⁰C):</t>
  </si>
  <si>
    <r>
      <rPr>
        <sz val="11"/>
        <color theme="1"/>
        <rFont val="Calibri"/>
        <family val="2"/>
      </rPr>
      <t>α</t>
    </r>
    <r>
      <rPr>
        <vertAlign val="subscript"/>
        <sz val="11"/>
        <color theme="1"/>
        <rFont val="Calibri"/>
        <family val="2"/>
      </rPr>
      <t>2</t>
    </r>
  </si>
  <si>
    <t>α:</t>
  </si>
  <si>
    <t>B:</t>
  </si>
  <si>
    <r>
      <rPr>
        <sz val="11"/>
        <color theme="1"/>
        <rFont val="宋体"/>
        <family val="3"/>
        <charset val="134"/>
      </rPr>
      <t>T</t>
    </r>
    <r>
      <rPr>
        <vertAlign val="subscript"/>
        <sz val="11"/>
        <color theme="1"/>
        <rFont val="宋体"/>
        <family val="3"/>
        <charset val="134"/>
      </rPr>
      <t>s,i</t>
    </r>
    <r>
      <rPr>
        <sz val="11"/>
        <color theme="1"/>
        <rFont val="宋体"/>
        <family val="3"/>
        <charset val="134"/>
      </rPr>
      <t xml:space="preserve"> (</t>
    </r>
    <r>
      <rPr>
        <sz val="11"/>
        <color theme="1"/>
        <rFont val="Calibri"/>
        <family val="2"/>
      </rPr>
      <t>⁰C</t>
    </r>
    <r>
      <rPr>
        <sz val="11"/>
        <color theme="1"/>
        <rFont val="宋体"/>
        <family val="3"/>
        <charset val="134"/>
      </rPr>
      <t>)</t>
    </r>
  </si>
  <si>
    <r>
      <rPr>
        <sz val="11"/>
        <color theme="1"/>
        <rFont val="宋体"/>
        <family val="3"/>
        <charset val="134"/>
      </rPr>
      <t>T</t>
    </r>
    <r>
      <rPr>
        <vertAlign val="subscript"/>
        <sz val="11"/>
        <color theme="1"/>
        <rFont val="宋体"/>
        <family val="3"/>
        <charset val="134"/>
      </rPr>
      <t>s,i</t>
    </r>
    <r>
      <rPr>
        <sz val="11"/>
        <color theme="1"/>
        <rFont val="宋体"/>
        <family val="3"/>
        <charset val="134"/>
      </rPr>
      <t xml:space="preserve"> (K)</t>
    </r>
  </si>
  <si>
    <t>TM-21 Report</t>
  </si>
  <si>
    <t>Table 2: Interpolation Report</t>
  </si>
  <si>
    <t>Description of LED Light Source Tested (manufacturer, model, 
catalog number)</t>
  </si>
  <si>
    <r>
      <rPr>
        <b/>
        <sz val="11"/>
        <color theme="0"/>
        <rFont val="Arial"/>
        <family val="2"/>
      </rPr>
      <t xml:space="preserve">(projection based on </t>
    </r>
    <r>
      <rPr>
        <b/>
        <i/>
        <sz val="11"/>
        <color theme="0"/>
        <rFont val="Arial"/>
        <family val="2"/>
      </rPr>
      <t>in-situ</t>
    </r>
    <r>
      <rPr>
        <b/>
        <sz val="11"/>
        <color theme="0"/>
        <rFont val="Arial"/>
        <family val="2"/>
      </rPr>
      <t xml:space="preserve"> temperature entered)</t>
    </r>
  </si>
  <si>
    <r>
      <rPr>
        <sz val="11"/>
        <color theme="1"/>
        <rFont val="Arial"/>
        <family val="2"/>
      </rPr>
      <t>T</t>
    </r>
    <r>
      <rPr>
        <vertAlign val="subscript"/>
        <sz val="11"/>
        <color theme="1"/>
        <rFont val="Arial"/>
        <family val="2"/>
      </rPr>
      <t>s,1</t>
    </r>
    <r>
      <rPr>
        <sz val="11"/>
        <color theme="1"/>
        <rFont val="Arial"/>
        <family val="2"/>
      </rPr>
      <t xml:space="preserve"> (⁰C)</t>
    </r>
  </si>
  <si>
    <r>
      <rPr>
        <sz val="11"/>
        <color theme="1"/>
        <rFont val="Arial"/>
        <family val="2"/>
      </rPr>
      <t>T</t>
    </r>
    <r>
      <rPr>
        <vertAlign val="subscript"/>
        <sz val="11"/>
        <color theme="1"/>
        <rFont val="Arial"/>
        <family val="2"/>
      </rPr>
      <t>s,1</t>
    </r>
    <r>
      <rPr>
        <sz val="11"/>
        <color theme="1"/>
        <rFont val="Arial"/>
        <family val="2"/>
      </rPr>
      <t xml:space="preserve"> (K)</t>
    </r>
  </si>
  <si>
    <r>
      <rPr>
        <sz val="11"/>
        <color theme="1"/>
        <rFont val="Arial"/>
        <family val="2"/>
      </rPr>
      <t>α</t>
    </r>
    <r>
      <rPr>
        <vertAlign val="subscript"/>
        <sz val="11"/>
        <color theme="1"/>
        <rFont val="Arial"/>
        <family val="2"/>
      </rPr>
      <t>1</t>
    </r>
  </si>
  <si>
    <t>Sample size</t>
  </si>
  <si>
    <r>
      <rPr>
        <sz val="11"/>
        <color theme="1"/>
        <rFont val="Arial"/>
        <family val="2"/>
      </rPr>
      <t>B</t>
    </r>
    <r>
      <rPr>
        <vertAlign val="subscript"/>
        <sz val="11"/>
        <color theme="1"/>
        <rFont val="Arial"/>
        <family val="2"/>
      </rPr>
      <t>1</t>
    </r>
  </si>
  <si>
    <t>Number of failures</t>
  </si>
  <si>
    <r>
      <rPr>
        <sz val="11"/>
        <color theme="1"/>
        <rFont val="Arial"/>
        <family val="2"/>
      </rPr>
      <t>T</t>
    </r>
    <r>
      <rPr>
        <vertAlign val="subscript"/>
        <sz val="11"/>
        <color theme="1"/>
        <rFont val="Arial"/>
        <family val="2"/>
      </rPr>
      <t>s,2</t>
    </r>
    <r>
      <rPr>
        <sz val="11"/>
        <color theme="1"/>
        <rFont val="Arial"/>
        <family val="2"/>
      </rPr>
      <t xml:space="preserve"> (⁰C)</t>
    </r>
  </si>
  <si>
    <t>DUT drive current used in the test (mA)</t>
  </si>
  <si>
    <r>
      <rPr>
        <sz val="11"/>
        <color theme="1"/>
        <rFont val="Arial"/>
        <family val="2"/>
      </rPr>
      <t>T</t>
    </r>
    <r>
      <rPr>
        <vertAlign val="subscript"/>
        <sz val="11"/>
        <color theme="1"/>
        <rFont val="Arial"/>
        <family val="2"/>
      </rPr>
      <t>s,2</t>
    </r>
    <r>
      <rPr>
        <sz val="11"/>
        <color theme="1"/>
        <rFont val="Arial"/>
        <family val="2"/>
      </rPr>
      <t xml:space="preserve"> (K)</t>
    </r>
  </si>
  <si>
    <t>Test duration (hours)</t>
  </si>
  <si>
    <r>
      <rPr>
        <sz val="11"/>
        <color theme="1"/>
        <rFont val="Arial"/>
        <family val="2"/>
      </rPr>
      <t>α</t>
    </r>
    <r>
      <rPr>
        <vertAlign val="subscript"/>
        <sz val="11"/>
        <color theme="1"/>
        <rFont val="Arial"/>
        <family val="2"/>
      </rPr>
      <t>2</t>
    </r>
  </si>
  <si>
    <t>Test duration used for projection (hour to hour)</t>
  </si>
  <si>
    <r>
      <rPr>
        <sz val="11"/>
        <color theme="1"/>
        <rFont val="Arial"/>
        <family val="2"/>
      </rPr>
      <t>B</t>
    </r>
    <r>
      <rPr>
        <vertAlign val="subscript"/>
        <sz val="11"/>
        <color theme="1"/>
        <rFont val="Arial"/>
        <family val="2"/>
      </rPr>
      <t>2</t>
    </r>
  </si>
  <si>
    <t>Tested case temperature (⁰C)</t>
  </si>
  <si>
    <r>
      <rPr>
        <sz val="11"/>
        <color theme="1"/>
        <rFont val="Arial"/>
        <family val="2"/>
      </rPr>
      <t>E</t>
    </r>
    <r>
      <rPr>
        <vertAlign val="subscript"/>
        <sz val="11"/>
        <color theme="1"/>
        <rFont val="Arial"/>
        <family val="2"/>
      </rPr>
      <t>a</t>
    </r>
    <r>
      <rPr>
        <sz val="11"/>
        <color theme="1"/>
        <rFont val="Arial"/>
        <family val="2"/>
      </rPr>
      <t>/k</t>
    </r>
    <r>
      <rPr>
        <vertAlign val="subscript"/>
        <sz val="11"/>
        <color theme="1"/>
        <rFont val="Arial"/>
        <family val="2"/>
      </rPr>
      <t>b</t>
    </r>
  </si>
  <si>
    <t>α</t>
  </si>
  <si>
    <t>B</t>
  </si>
  <si>
    <r>
      <rPr>
        <sz val="11"/>
        <color theme="1"/>
        <rFont val="Arial"/>
        <family val="2"/>
      </rPr>
      <t>B</t>
    </r>
    <r>
      <rPr>
        <vertAlign val="subscript"/>
        <sz val="11"/>
        <color theme="1"/>
        <rFont val="Arial"/>
        <family val="2"/>
      </rPr>
      <t>0</t>
    </r>
  </si>
  <si>
    <r>
      <rPr>
        <sz val="11"/>
        <color theme="1"/>
        <rFont val="Arial"/>
        <family val="2"/>
      </rPr>
      <t>T</t>
    </r>
    <r>
      <rPr>
        <vertAlign val="subscript"/>
        <sz val="11"/>
        <color theme="1"/>
        <rFont val="Arial"/>
        <family val="2"/>
      </rPr>
      <t>s,i</t>
    </r>
    <r>
      <rPr>
        <sz val="11"/>
        <color theme="1"/>
        <rFont val="Arial"/>
        <family val="2"/>
      </rPr>
      <t xml:space="preserve"> (⁰C)</t>
    </r>
  </si>
  <si>
    <r>
      <rPr>
        <sz val="11"/>
        <color theme="1"/>
        <rFont val="Arial"/>
        <family val="2"/>
      </rPr>
      <t>T</t>
    </r>
    <r>
      <rPr>
        <vertAlign val="subscript"/>
        <sz val="11"/>
        <color theme="1"/>
        <rFont val="Arial"/>
        <family val="2"/>
      </rPr>
      <t>s,i</t>
    </r>
    <r>
      <rPr>
        <sz val="11"/>
        <color theme="1"/>
        <rFont val="Arial"/>
        <family val="2"/>
      </rPr>
      <t xml:space="preserve"> (K)</t>
    </r>
  </si>
  <si>
    <r>
      <rPr>
        <sz val="11"/>
        <color theme="1"/>
        <rFont val="Arial"/>
        <family val="2"/>
      </rPr>
      <t>α</t>
    </r>
    <r>
      <rPr>
        <vertAlign val="subscript"/>
        <sz val="11"/>
        <color theme="1"/>
        <rFont val="Arial"/>
        <family val="2"/>
      </rPr>
      <t>i</t>
    </r>
  </si>
  <si>
    <t xml:space="preserve">Report Generated By: </t>
  </si>
  <si>
    <t xml:space="preserve">Notes: </t>
  </si>
  <si>
    <t xml:space="preserve">Company: </t>
  </si>
  <si>
    <t xml:space="preserve">Date: </t>
  </si>
  <si>
    <t>Interval Dif.</t>
  </si>
  <si>
    <t>Interval</t>
  </si>
  <si>
    <t>Time (hrs) = x</t>
  </si>
  <si>
    <t>Average Normalized Lumen Maintenance = y</t>
  </si>
  <si>
    <t>ln(y)</t>
  </si>
  <si>
    <t>xy</t>
  </si>
  <si>
    <r>
      <rPr>
        <sz val="11"/>
        <color theme="1"/>
        <rFont val="宋体"/>
        <family val="3"/>
        <charset val="134"/>
      </rPr>
      <t>x</t>
    </r>
    <r>
      <rPr>
        <vertAlign val="superscript"/>
        <sz val="11"/>
        <color theme="1"/>
        <rFont val="宋体"/>
        <family val="3"/>
        <charset val="134"/>
      </rPr>
      <t>2</t>
    </r>
  </si>
  <si>
    <t>xlny</t>
  </si>
  <si>
    <t>Sums</t>
  </si>
  <si>
    <t>Slope:</t>
  </si>
  <si>
    <t>Intercept: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</si>
</sst>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0.0000E+00"/>
    <numFmt numFmtId="166" formatCode="0.00000"/>
    <numFmt numFmtId="167" formatCode="_(* #,##0.00_);_(* \(#,##0.00\);_(* &quot;-&quot;??_);_(@_)"/>
    <numFmt numFmtId="168" formatCode="0.000E+00"/>
    <numFmt numFmtId="169" formatCode="0.000"/>
    <numFmt numFmtId="170" formatCode="0.00000E+00"/>
    <numFmt numFmtId="171" formatCode="0.0000"/>
  </numFmts>
  <fonts count="43">
    <font>
      <sz val="11"/>
      <color theme="1"/>
      <name val="Calibri"/>
      <charset val="134"/>
      <scheme val="minor"/>
    </font>
    <font>
      <sz val="12"/>
      <color theme="0"/>
      <name val="Calibri"/>
      <family val="3"/>
      <charset val="134"/>
      <scheme val="minor"/>
    </font>
    <font>
      <sz val="11"/>
      <color theme="1"/>
      <name val="Calibri"/>
      <family val="2"/>
    </font>
    <font>
      <sz val="11"/>
      <color theme="1"/>
      <name val="Arial"/>
      <family val="2"/>
    </font>
    <font>
      <b/>
      <sz val="22"/>
      <color theme="1"/>
      <name val="Arial"/>
      <family val="2"/>
    </font>
    <font>
      <b/>
      <sz val="11"/>
      <color theme="0"/>
      <name val="Arial"/>
      <family val="2"/>
    </font>
    <font>
      <b/>
      <sz val="11"/>
      <name val="Arial"/>
      <family val="2"/>
    </font>
    <font>
      <sz val="11"/>
      <name val="Arial"/>
      <family val="2"/>
    </font>
    <font>
      <b/>
      <sz val="11"/>
      <color theme="1"/>
      <name val="Arial"/>
      <family val="2"/>
    </font>
    <font>
      <sz val="11"/>
      <color rgb="FFFF0000"/>
      <name val="Arial"/>
      <family val="2"/>
    </font>
    <font>
      <sz val="8"/>
      <color theme="1"/>
      <name val="Arial"/>
      <family val="2"/>
    </font>
    <font>
      <b/>
      <sz val="11"/>
      <color theme="1"/>
      <name val="Calibri"/>
      <family val="3"/>
      <charset val="134"/>
      <scheme val="minor"/>
    </font>
    <font>
      <sz val="11"/>
      <color theme="0" tint="-0.249977111117893"/>
      <name val="Calibri"/>
      <family val="3"/>
      <charset val="134"/>
      <scheme val="minor"/>
    </font>
    <font>
      <sz val="11"/>
      <color theme="0"/>
      <name val="Calibri"/>
      <family val="3"/>
      <charset val="134"/>
      <scheme val="minor"/>
    </font>
    <font>
      <b/>
      <sz val="28"/>
      <color theme="1"/>
      <name val="Arial"/>
      <family val="2"/>
    </font>
    <font>
      <sz val="14"/>
      <color theme="1"/>
      <name val="Arial"/>
      <family val="2"/>
    </font>
    <font>
      <sz val="16"/>
      <color theme="1"/>
      <name val="Arial"/>
      <family val="2"/>
    </font>
    <font>
      <b/>
      <sz val="20"/>
      <color theme="1"/>
      <name val="Arial"/>
      <family val="2"/>
    </font>
    <font>
      <b/>
      <sz val="20"/>
      <color theme="1"/>
      <name val="Calibri"/>
      <family val="3"/>
      <charset val="134"/>
      <scheme val="minor"/>
    </font>
    <font>
      <sz val="14"/>
      <color theme="0"/>
      <name val="Arial"/>
      <family val="2"/>
    </font>
    <font>
      <sz val="14"/>
      <color theme="1"/>
      <name val="Calibri"/>
      <family val="3"/>
      <charset val="134"/>
      <scheme val="minor"/>
    </font>
    <font>
      <sz val="14"/>
      <color rgb="FFFF0000"/>
      <name val="Arial"/>
      <family val="2"/>
    </font>
    <font>
      <sz val="12"/>
      <color theme="1"/>
      <name val="Arial"/>
      <family val="2"/>
    </font>
    <font>
      <b/>
      <sz val="14"/>
      <color theme="1"/>
      <name val="Arial"/>
      <family val="2"/>
    </font>
    <font>
      <sz val="12"/>
      <color rgb="FFFF0000"/>
      <name val="Arial"/>
      <family val="2"/>
    </font>
    <font>
      <b/>
      <u/>
      <sz val="18"/>
      <name val="Arial"/>
      <family val="2"/>
    </font>
    <font>
      <sz val="11"/>
      <color theme="1"/>
      <name val="宋体"/>
      <family val="3"/>
      <charset val="134"/>
    </font>
    <font>
      <vertAlign val="superscript"/>
      <sz val="11"/>
      <color theme="1"/>
      <name val="宋体"/>
      <family val="3"/>
      <charset val="134"/>
    </font>
    <font>
      <b/>
      <i/>
      <sz val="11"/>
      <color theme="0"/>
      <name val="Arial"/>
      <family val="2"/>
    </font>
    <font>
      <vertAlign val="subscript"/>
      <sz val="11"/>
      <color theme="1"/>
      <name val="Arial"/>
      <family val="2"/>
    </font>
    <font>
      <vertAlign val="subscript"/>
      <sz val="11"/>
      <color theme="1"/>
      <name val="宋体"/>
      <family val="3"/>
      <charset val="134"/>
    </font>
    <font>
      <vertAlign val="subscript"/>
      <sz val="11"/>
      <color theme="1"/>
      <name val="Calibri"/>
      <family val="2"/>
    </font>
    <font>
      <vertAlign val="subscript"/>
      <sz val="9.35"/>
      <color theme="1"/>
      <name val="Calibri"/>
      <family val="2"/>
    </font>
    <font>
      <i/>
      <sz val="14"/>
      <color theme="1"/>
      <name val="Arial"/>
      <family val="2"/>
    </font>
    <font>
      <vertAlign val="subscript"/>
      <sz val="14"/>
      <color theme="1"/>
      <name val="Arial"/>
      <family val="2"/>
    </font>
    <font>
      <b/>
      <i/>
      <sz val="20"/>
      <color theme="1"/>
      <name val="Arial"/>
      <family val="2"/>
    </font>
    <font>
      <b/>
      <sz val="18"/>
      <name val="Arial"/>
      <family val="2"/>
    </font>
    <font>
      <b/>
      <vertAlign val="superscript"/>
      <sz val="18"/>
      <name val="Arial"/>
      <family val="2"/>
    </font>
    <font>
      <b/>
      <sz val="12"/>
      <color theme="1"/>
      <name val="Arial"/>
      <family val="2"/>
    </font>
    <font>
      <sz val="10"/>
      <color theme="1"/>
      <name val="Arial"/>
      <family val="2"/>
    </font>
    <font>
      <i/>
      <sz val="12"/>
      <color theme="1"/>
      <name val="Arial"/>
      <family val="2"/>
    </font>
    <font>
      <sz val="11"/>
      <color theme="1"/>
      <name val="Calibri"/>
      <family val="3"/>
      <charset val="134"/>
      <scheme val="minor"/>
    </font>
    <font>
      <sz val="9"/>
      <name val="Calibri"/>
      <family val="3"/>
      <charset val="134"/>
      <scheme val="minor"/>
    </font>
  </fonts>
  <fills count="12">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3743705557422"/>
        <bgColor indexed="64"/>
      </patternFill>
    </fill>
    <fill>
      <patternFill patternType="solid">
        <fgColor theme="1"/>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bgColor theme="0"/>
      </patternFill>
    </fill>
    <fill>
      <patternFill patternType="solid">
        <fgColor indexed="65"/>
        <bgColor theme="0"/>
      </patternFill>
    </fill>
    <fill>
      <patternFill patternType="solid">
        <fgColor theme="0" tint="-0.14996795556505021"/>
        <bgColor indexed="64"/>
      </patternFill>
    </fill>
    <fill>
      <patternFill patternType="solid">
        <fgColor rgb="FF00B7EB"/>
        <bgColor indexed="64"/>
      </patternFill>
    </fill>
  </fills>
  <borders count="89">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medium">
        <color auto="1"/>
      </left>
      <right style="thin">
        <color auto="1"/>
      </right>
      <top style="thin">
        <color auto="1"/>
      </top>
      <bottom style="dashed">
        <color theme="0" tint="-0.34998626667073579"/>
      </bottom>
      <diagonal/>
    </border>
    <border>
      <left/>
      <right style="dashed">
        <color auto="1"/>
      </right>
      <top style="thin">
        <color auto="1"/>
      </top>
      <bottom style="dashed">
        <color theme="0" tint="-0.34998626667073579"/>
      </bottom>
      <diagonal/>
    </border>
    <border>
      <left style="dashed">
        <color auto="1"/>
      </left>
      <right style="dashed">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thin">
        <color auto="1"/>
      </bottom>
      <diagonal/>
    </border>
    <border>
      <left/>
      <right style="dashed">
        <color auto="1"/>
      </right>
      <top style="dashed">
        <color theme="0" tint="-0.34998626667073579"/>
      </top>
      <bottom style="thin">
        <color auto="1"/>
      </bottom>
      <diagonal/>
    </border>
    <border>
      <left style="dashed">
        <color auto="1"/>
      </left>
      <right style="dashed">
        <color auto="1"/>
      </right>
      <top style="dashed">
        <color theme="0" tint="-0.34998626667073579"/>
      </top>
      <bottom style="thin">
        <color auto="1"/>
      </bottom>
      <diagonal/>
    </border>
    <border>
      <left style="medium">
        <color auto="1"/>
      </left>
      <right style="thin">
        <color auto="1"/>
      </right>
      <top style="thin">
        <color auto="1"/>
      </top>
      <bottom style="medium">
        <color auto="1"/>
      </bottom>
      <diagonal/>
    </border>
    <border>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bottom style="dashed">
        <color theme="0" tint="-0.34998626667073579"/>
      </bottom>
      <diagonal/>
    </border>
    <border>
      <left/>
      <right style="medium">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medium">
        <color auto="1"/>
      </right>
      <top style="dashed">
        <color theme="0" tint="-0.34998626667073579"/>
      </top>
      <bottom style="medium">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dashed">
        <color auto="1"/>
      </left>
      <right style="medium">
        <color auto="1"/>
      </right>
      <top style="dashed">
        <color theme="0" tint="-0.34998626667073579"/>
      </top>
      <bottom style="thin">
        <color auto="1"/>
      </bottom>
      <diagonal/>
    </border>
    <border>
      <left style="dashed">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medium">
        <color auto="1"/>
      </left>
      <right style="dashed">
        <color auto="1"/>
      </right>
      <top style="dashed">
        <color theme="0" tint="-0.24994659260841701"/>
      </top>
      <bottom style="medium">
        <color auto="1"/>
      </bottom>
      <diagonal/>
    </border>
    <border>
      <left style="dashed">
        <color auto="1"/>
      </left>
      <right style="medium">
        <color auto="1"/>
      </right>
      <top style="dashed">
        <color theme="0" tint="-0.24994659260841701"/>
      </top>
      <bottom style="medium">
        <color auto="1"/>
      </bottom>
      <diagonal/>
    </border>
    <border>
      <left/>
      <right/>
      <top style="medium">
        <color auto="1"/>
      </top>
      <bottom style="medium">
        <color auto="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14993743705557422"/>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thin">
        <color auto="1"/>
      </left>
      <right style="medium">
        <color auto="1"/>
      </right>
      <top style="dashed">
        <color theme="0" tint="-0.2499465926084170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thin">
        <color auto="1"/>
      </left>
      <right style="thin">
        <color auto="1"/>
      </right>
      <top/>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dashed">
        <color auto="1"/>
      </right>
      <top style="thin">
        <color auto="1"/>
      </top>
      <bottom style="dashed">
        <color theme="0" tint="-0.24994659260841701"/>
      </bottom>
      <diagonal/>
    </border>
    <border>
      <left style="dashed">
        <color auto="1"/>
      </left>
      <right style="medium">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medium">
        <color auto="1"/>
      </left>
      <right/>
      <top/>
      <bottom style="dashed">
        <color theme="0" tint="-0.2499465926084170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ashed">
        <color theme="0" tint="-0.24994659260841701"/>
      </bottom>
      <diagonal/>
    </border>
    <border>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medium">
        <color auto="1"/>
      </left>
      <right style="medium">
        <color auto="1"/>
      </right>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s>
  <cellStyleXfs count="3">
    <xf numFmtId="0" fontId="0" fillId="0" borderId="0"/>
    <xf numFmtId="167" fontId="41" fillId="0" borderId="0" applyFont="0" applyFill="0" applyBorder="0" applyAlignment="0" applyProtection="0"/>
    <xf numFmtId="9" fontId="41" fillId="0" borderId="0" applyFont="0" applyFill="0" applyBorder="0" applyAlignment="0" applyProtection="0"/>
  </cellStyleXfs>
  <cellXfs count="294">
    <xf numFmtId="0" fontId="0" fillId="0" borderId="0" xfId="0"/>
    <xf numFmtId="0" fontId="0" fillId="2" borderId="0" xfId="0" applyFill="1"/>
    <xf numFmtId="0" fontId="0" fillId="4" borderId="3" xfId="0" applyFill="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5" borderId="6" xfId="0" applyFill="1" applyBorder="1" applyAlignment="1">
      <alignment horizontal="center" vertical="center"/>
    </xf>
    <xf numFmtId="3" fontId="0" fillId="2" borderId="7" xfId="2" applyNumberFormat="1" applyFont="1" applyFill="1" applyBorder="1" applyAlignment="1">
      <alignment horizontal="center" vertical="center"/>
    </xf>
    <xf numFmtId="9" fontId="0" fillId="2" borderId="8" xfId="2" applyFont="1" applyFill="1" applyBorder="1" applyAlignment="1">
      <alignment horizontal="center" vertical="center"/>
    </xf>
    <xf numFmtId="166" fontId="0" fillId="2" borderId="8" xfId="1" applyNumberFormat="1" applyFont="1" applyFill="1" applyBorder="1" applyAlignment="1">
      <alignment horizontal="center" vertical="center"/>
    </xf>
    <xf numFmtId="4" fontId="0" fillId="2" borderId="8" xfId="2" applyNumberFormat="1" applyFont="1" applyFill="1" applyBorder="1" applyAlignment="1">
      <alignment horizontal="center" vertical="center"/>
    </xf>
    <xf numFmtId="0" fontId="0" fillId="5" borderId="9" xfId="0" applyFill="1" applyBorder="1" applyAlignment="1">
      <alignment horizontal="center" vertical="center"/>
    </xf>
    <xf numFmtId="0" fontId="0" fillId="2" borderId="9" xfId="0" applyFill="1" applyBorder="1" applyAlignment="1">
      <alignment horizontal="center" vertical="center"/>
    </xf>
    <xf numFmtId="3" fontId="0" fillId="2" borderId="10" xfId="2" applyNumberFormat="1" applyFont="1" applyFill="1" applyBorder="1" applyAlignment="1">
      <alignment horizontal="center" vertical="center"/>
    </xf>
    <xf numFmtId="9" fontId="0" fillId="2" borderId="11" xfId="2" applyFont="1" applyFill="1" applyBorder="1" applyAlignment="1">
      <alignment horizontal="center" vertical="center"/>
    </xf>
    <xf numFmtId="166" fontId="0" fillId="2" borderId="11" xfId="1" applyNumberFormat="1" applyFont="1" applyFill="1" applyBorder="1" applyAlignment="1">
      <alignment horizontal="center" vertical="center"/>
    </xf>
    <xf numFmtId="4" fontId="0" fillId="2" borderId="11" xfId="2" applyNumberFormat="1" applyFont="1" applyFill="1" applyBorder="1" applyAlignment="1">
      <alignment horizontal="center" vertical="center"/>
    </xf>
    <xf numFmtId="0" fontId="0" fillId="2" borderId="12" xfId="0" applyFill="1" applyBorder="1" applyAlignment="1">
      <alignment horizontal="center" vertical="center"/>
    </xf>
    <xf numFmtId="3" fontId="0" fillId="2" borderId="13" xfId="2" applyNumberFormat="1" applyFont="1" applyFill="1" applyBorder="1" applyAlignment="1">
      <alignment horizontal="center" vertical="center"/>
    </xf>
    <xf numFmtId="9" fontId="0" fillId="2" borderId="14" xfId="2" applyFont="1" applyFill="1" applyBorder="1" applyAlignment="1">
      <alignment horizontal="center" vertical="center"/>
    </xf>
    <xf numFmtId="166" fontId="0" fillId="2" borderId="14" xfId="1" applyNumberFormat="1" applyFont="1" applyFill="1" applyBorder="1" applyAlignment="1">
      <alignment horizontal="center" vertical="center"/>
    </xf>
    <xf numFmtId="4" fontId="0" fillId="2" borderId="14" xfId="2" applyNumberFormat="1" applyFont="1" applyFill="1" applyBorder="1" applyAlignment="1">
      <alignment horizontal="center" vertical="center"/>
    </xf>
    <xf numFmtId="0" fontId="0" fillId="6" borderId="15" xfId="0" applyFill="1" applyBorder="1" applyAlignment="1">
      <alignment horizontal="center" vertical="center"/>
    </xf>
    <xf numFmtId="0" fontId="0" fillId="2" borderId="15" xfId="0" applyFill="1" applyBorder="1" applyAlignment="1">
      <alignment horizontal="center" vertical="center"/>
    </xf>
    <xf numFmtId="3" fontId="0" fillId="2" borderId="16" xfId="0" applyNumberFormat="1" applyFill="1" applyBorder="1" applyAlignment="1">
      <alignment horizontal="center" vertical="center"/>
    </xf>
    <xf numFmtId="9" fontId="0" fillId="2" borderId="17" xfId="0" applyNumberFormat="1" applyFill="1" applyBorder="1" applyAlignment="1">
      <alignment horizontal="center" vertical="center"/>
    </xf>
    <xf numFmtId="166" fontId="0" fillId="2" borderId="17" xfId="0" applyNumberFormat="1" applyFill="1" applyBorder="1" applyAlignment="1">
      <alignment horizontal="center" vertical="center"/>
    </xf>
    <xf numFmtId="4" fontId="0" fillId="2" borderId="17" xfId="0" applyNumberFormat="1" applyFill="1" applyBorder="1" applyAlignment="1">
      <alignment horizontal="center" vertical="center"/>
    </xf>
    <xf numFmtId="0" fontId="0" fillId="4" borderId="6" xfId="0" applyFill="1" applyBorder="1" applyAlignment="1">
      <alignment vertical="center"/>
    </xf>
    <xf numFmtId="168" fontId="0" fillId="2" borderId="19" xfId="0" applyNumberFormat="1" applyFill="1" applyBorder="1" applyAlignment="1">
      <alignment vertical="center"/>
    </xf>
    <xf numFmtId="0" fontId="0" fillId="4" borderId="9" xfId="0" applyFill="1" applyBorder="1" applyAlignment="1">
      <alignment vertical="center"/>
    </xf>
    <xf numFmtId="168" fontId="0" fillId="2" borderId="20" xfId="0" applyNumberFormat="1" applyFill="1" applyBorder="1" applyAlignment="1">
      <alignment vertical="center"/>
    </xf>
    <xf numFmtId="0" fontId="2" fillId="4" borderId="9" xfId="0" applyFont="1" applyFill="1" applyBorder="1" applyAlignment="1">
      <alignment vertical="center"/>
    </xf>
    <xf numFmtId="0" fontId="0" fillId="4" borderId="9" xfId="0" applyFill="1" applyBorder="1" applyAlignment="1">
      <alignment vertical="center" wrapText="1"/>
    </xf>
    <xf numFmtId="3" fontId="0" fillId="2" borderId="20" xfId="0" applyNumberFormat="1" applyFill="1" applyBorder="1" applyAlignment="1">
      <alignment vertical="center"/>
    </xf>
    <xf numFmtId="0" fontId="0" fillId="4" borderId="21" xfId="0" applyFill="1" applyBorder="1" applyAlignment="1">
      <alignment vertical="center" wrapText="1"/>
    </xf>
    <xf numFmtId="3" fontId="0" fillId="2" borderId="22" xfId="0" applyNumberFormat="1" applyFill="1" applyBorder="1" applyAlignment="1">
      <alignment horizontal="right" vertical="center"/>
    </xf>
    <xf numFmtId="0" fontId="0" fillId="4" borderId="23" xfId="0" applyFill="1" applyBorder="1" applyAlignment="1">
      <alignment horizontal="center" vertical="center" wrapText="1"/>
    </xf>
    <xf numFmtId="3" fontId="0" fillId="2" borderId="8" xfId="0" applyNumberFormat="1" applyFill="1" applyBorder="1" applyAlignment="1">
      <alignment horizontal="center" vertical="center"/>
    </xf>
    <xf numFmtId="4" fontId="0" fillId="2" borderId="24" xfId="0" applyNumberFormat="1" applyFill="1" applyBorder="1" applyAlignment="1">
      <alignment horizontal="center" vertical="center"/>
    </xf>
    <xf numFmtId="3" fontId="0" fillId="2" borderId="11" xfId="0" applyNumberFormat="1" applyFill="1" applyBorder="1" applyAlignment="1">
      <alignment horizontal="center" vertical="center"/>
    </xf>
    <xf numFmtId="4" fontId="0" fillId="2" borderId="25" xfId="0" applyNumberFormat="1" applyFill="1" applyBorder="1" applyAlignment="1">
      <alignment horizontal="center" vertical="center"/>
    </xf>
    <xf numFmtId="3" fontId="0" fillId="2" borderId="14" xfId="0" applyNumberFormat="1" applyFill="1" applyBorder="1" applyAlignment="1">
      <alignment horizontal="center" vertical="center"/>
    </xf>
    <xf numFmtId="4" fontId="0" fillId="2" borderId="26" xfId="0" applyNumberFormat="1" applyFill="1" applyBorder="1" applyAlignment="1">
      <alignment horizontal="center" vertical="center"/>
    </xf>
    <xf numFmtId="3" fontId="0" fillId="2" borderId="17" xfId="0" applyNumberFormat="1" applyFill="1" applyBorder="1" applyAlignment="1">
      <alignment horizontal="center" vertical="center"/>
    </xf>
    <xf numFmtId="4" fontId="0" fillId="2" borderId="27" xfId="0" applyNumberFormat="1" applyFill="1" applyBorder="1" applyAlignment="1">
      <alignment horizontal="center" vertical="center"/>
    </xf>
    <xf numFmtId="3" fontId="0" fillId="2" borderId="8" xfId="2" applyNumberFormat="1" applyFont="1" applyFill="1" applyBorder="1" applyAlignment="1">
      <alignment horizontal="center" vertical="center"/>
    </xf>
    <xf numFmtId="3" fontId="0" fillId="2" borderId="11" xfId="2" applyNumberFormat="1" applyFont="1" applyFill="1" applyBorder="1" applyAlignment="1">
      <alignment horizontal="center" vertical="center"/>
    </xf>
    <xf numFmtId="3" fontId="0" fillId="2" borderId="0" xfId="0" applyNumberFormat="1" applyFill="1"/>
    <xf numFmtId="0" fontId="0" fillId="2" borderId="0" xfId="0" applyFill="1" applyAlignment="1">
      <alignment wrapText="1"/>
    </xf>
    <xf numFmtId="0" fontId="0" fillId="7" borderId="0" xfId="0" applyFill="1"/>
    <xf numFmtId="0" fontId="3" fillId="7" borderId="0" xfId="0" applyFont="1" applyFill="1"/>
    <xf numFmtId="0" fontId="3" fillId="2" borderId="0" xfId="0" applyFont="1" applyFill="1"/>
    <xf numFmtId="0" fontId="8" fillId="2" borderId="0" xfId="0" applyFont="1" applyFill="1" applyAlignment="1">
      <alignment vertical="center"/>
    </xf>
    <xf numFmtId="0" fontId="3" fillId="2" borderId="0" xfId="0" applyFont="1" applyFill="1" applyAlignment="1">
      <alignment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0" xfId="0" applyFont="1" applyFill="1" applyAlignment="1">
      <alignment vertical="center" wrapText="1"/>
    </xf>
    <xf numFmtId="164" fontId="3" fillId="2" borderId="40" xfId="1" applyNumberFormat="1" applyFont="1" applyFill="1" applyBorder="1" applyAlignment="1" applyProtection="1">
      <alignment horizontal="center" vertical="center" wrapText="1"/>
    </xf>
    <xf numFmtId="164" fontId="3" fillId="2" borderId="39" xfId="1" applyNumberFormat="1" applyFont="1" applyFill="1" applyBorder="1" applyAlignment="1" applyProtection="1">
      <alignment horizontal="center" vertical="center" wrapText="1"/>
    </xf>
    <xf numFmtId="0" fontId="9" fillId="2" borderId="0" xfId="0" applyFont="1" applyFill="1" applyAlignment="1">
      <alignment wrapText="1"/>
    </xf>
    <xf numFmtId="0" fontId="3" fillId="8" borderId="38" xfId="0" applyFont="1" applyFill="1" applyBorder="1" applyAlignment="1">
      <alignment horizontal="left" vertical="center" wrapText="1"/>
    </xf>
    <xf numFmtId="0" fontId="3" fillId="8" borderId="32" xfId="0" applyFont="1" applyFill="1" applyBorder="1" applyAlignment="1">
      <alignment horizontal="center" vertical="center" wrapText="1"/>
    </xf>
    <xf numFmtId="0" fontId="3" fillId="8" borderId="0" xfId="0" applyFont="1" applyFill="1" applyAlignment="1">
      <alignment vertical="center" wrapText="1"/>
    </xf>
    <xf numFmtId="0" fontId="3" fillId="8"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168" fontId="3" fillId="2" borderId="40" xfId="0" applyNumberFormat="1" applyFont="1" applyFill="1" applyBorder="1" applyAlignment="1">
      <alignment horizontal="center" vertical="center" wrapText="1"/>
    </xf>
    <xf numFmtId="0" fontId="3" fillId="2" borderId="41" xfId="0" applyFont="1" applyFill="1" applyBorder="1" applyAlignment="1">
      <alignment horizontal="left" vertical="center" wrapText="1"/>
    </xf>
    <xf numFmtId="169" fontId="3" fillId="2" borderId="42"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164" fontId="3" fillId="2" borderId="44" xfId="1" applyNumberFormat="1" applyFont="1" applyFill="1" applyBorder="1" applyAlignment="1" applyProtection="1">
      <alignment horizontal="center" vertical="center" wrapText="1"/>
    </xf>
    <xf numFmtId="0" fontId="3" fillId="2" borderId="0" xfId="0" applyFont="1" applyFill="1" applyAlignment="1">
      <alignment horizontal="right" vertical="center" wrapText="1"/>
    </xf>
    <xf numFmtId="1" fontId="3" fillId="2" borderId="0" xfId="0" applyNumberFormat="1" applyFont="1" applyFill="1" applyAlignment="1">
      <alignment horizontal="right" vertical="center" wrapText="1"/>
    </xf>
    <xf numFmtId="0" fontId="10" fillId="2" borderId="0" xfId="0" applyFont="1" applyFill="1"/>
    <xf numFmtId="0" fontId="3" fillId="2" borderId="46" xfId="0" applyFont="1" applyFill="1" applyBorder="1" applyAlignment="1">
      <alignment horizontal="left" vertical="center"/>
    </xf>
    <xf numFmtId="2" fontId="3" fillId="2" borderId="47" xfId="0" applyNumberFormat="1" applyFont="1" applyFill="1" applyBorder="1" applyAlignment="1">
      <alignment horizontal="center" vertical="center"/>
    </xf>
    <xf numFmtId="0" fontId="3" fillId="2" borderId="48" xfId="0" applyFont="1" applyFill="1" applyBorder="1" applyAlignment="1">
      <alignment horizontal="left" vertical="center"/>
    </xf>
    <xf numFmtId="2" fontId="3" fillId="2" borderId="49" xfId="0" applyNumberFormat="1" applyFont="1" applyFill="1" applyBorder="1" applyAlignment="1">
      <alignment horizontal="center" vertical="center"/>
    </xf>
    <xf numFmtId="0" fontId="3" fillId="2" borderId="48" xfId="0" applyFont="1" applyFill="1" applyBorder="1" applyAlignment="1">
      <alignment horizontal="left" vertical="center" wrapText="1"/>
    </xf>
    <xf numFmtId="168" fontId="3" fillId="2" borderId="49" xfId="0" applyNumberFormat="1" applyFont="1" applyFill="1" applyBorder="1" applyAlignment="1">
      <alignment horizontal="center" vertical="center"/>
    </xf>
    <xf numFmtId="0" fontId="3" fillId="2" borderId="50" xfId="0" applyFont="1" applyFill="1" applyBorder="1" applyAlignment="1">
      <alignment horizontal="left" vertical="center"/>
    </xf>
    <xf numFmtId="169" fontId="3" fillId="2" borderId="51" xfId="0" applyNumberFormat="1" applyFont="1" applyFill="1" applyBorder="1" applyAlignment="1">
      <alignment horizontal="center" vertical="center"/>
    </xf>
    <xf numFmtId="0" fontId="3" fillId="2" borderId="52" xfId="0" applyFont="1" applyFill="1" applyBorder="1" applyAlignment="1">
      <alignment horizontal="left" vertical="center"/>
    </xf>
    <xf numFmtId="2" fontId="3" fillId="2" borderId="53" xfId="0" applyNumberFormat="1" applyFont="1" applyFill="1" applyBorder="1" applyAlignment="1">
      <alignment horizontal="center" vertical="center"/>
    </xf>
    <xf numFmtId="0" fontId="3" fillId="2" borderId="54" xfId="0" applyFont="1" applyFill="1" applyBorder="1" applyAlignment="1">
      <alignment horizontal="left" vertical="center"/>
    </xf>
    <xf numFmtId="169" fontId="3" fillId="2" borderId="55" xfId="0" applyNumberFormat="1" applyFont="1" applyFill="1" applyBorder="1" applyAlignment="1">
      <alignment horizontal="center" vertical="center"/>
    </xf>
    <xf numFmtId="11" fontId="3" fillId="2" borderId="53"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left" vertical="center" wrapText="1"/>
    </xf>
    <xf numFmtId="168" fontId="3" fillId="2" borderId="51" xfId="0" applyNumberFormat="1" applyFont="1" applyFill="1" applyBorder="1" applyAlignment="1">
      <alignment horizontal="center" vertical="center"/>
    </xf>
    <xf numFmtId="0" fontId="3" fillId="2" borderId="56" xfId="0" applyFont="1" applyFill="1" applyBorder="1" applyAlignment="1">
      <alignment horizontal="left" vertical="center" wrapText="1"/>
    </xf>
    <xf numFmtId="164" fontId="3" fillId="2" borderId="57" xfId="1" applyNumberFormat="1" applyFont="1" applyFill="1" applyBorder="1" applyAlignment="1" applyProtection="1">
      <alignment horizontal="center" vertical="center"/>
    </xf>
    <xf numFmtId="0" fontId="0" fillId="2" borderId="58" xfId="0" applyFill="1" applyBorder="1" applyAlignment="1">
      <alignment wrapText="1"/>
    </xf>
    <xf numFmtId="0" fontId="0" fillId="2" borderId="59" xfId="0" applyFill="1" applyBorder="1" applyAlignment="1">
      <alignment horizontal="left"/>
    </xf>
    <xf numFmtId="0" fontId="0" fillId="2" borderId="48" xfId="0" applyFill="1" applyBorder="1" applyAlignment="1">
      <alignment wrapText="1"/>
    </xf>
    <xf numFmtId="0" fontId="0" fillId="2" borderId="49" xfId="0" applyFill="1" applyBorder="1" applyAlignment="1">
      <alignment horizontal="left"/>
    </xf>
    <xf numFmtId="3" fontId="0" fillId="2" borderId="49" xfId="0" applyNumberFormat="1" applyFill="1" applyBorder="1" applyAlignment="1">
      <alignment horizontal="left"/>
    </xf>
    <xf numFmtId="0" fontId="2" fillId="2" borderId="48" xfId="0" applyFont="1" applyFill="1" applyBorder="1" applyAlignment="1">
      <alignment wrapText="1"/>
    </xf>
    <xf numFmtId="170" fontId="0" fillId="2" borderId="49" xfId="0" applyNumberFormat="1" applyFill="1" applyBorder="1" applyAlignment="1">
      <alignment horizontal="left"/>
    </xf>
    <xf numFmtId="1" fontId="0" fillId="2" borderId="49" xfId="0" applyNumberFormat="1" applyFill="1" applyBorder="1" applyAlignment="1">
      <alignment horizontal="left"/>
    </xf>
    <xf numFmtId="0" fontId="0" fillId="2" borderId="56" xfId="0" applyFill="1" applyBorder="1" applyAlignment="1">
      <alignment wrapText="1"/>
    </xf>
    <xf numFmtId="1" fontId="0" fillId="2" borderId="60" xfId="0" applyNumberFormat="1" applyFill="1" applyBorder="1" applyAlignment="1">
      <alignment horizontal="left"/>
    </xf>
    <xf numFmtId="0" fontId="0" fillId="2" borderId="58" xfId="0" applyFill="1" applyBorder="1"/>
    <xf numFmtId="2" fontId="0" fillId="2" borderId="59" xfId="0" applyNumberFormat="1" applyFill="1" applyBorder="1" applyAlignment="1">
      <alignment horizontal="left"/>
    </xf>
    <xf numFmtId="0" fontId="0" fillId="2" borderId="48" xfId="0" applyFill="1" applyBorder="1"/>
    <xf numFmtId="2" fontId="0" fillId="2" borderId="49" xfId="0" applyNumberFormat="1" applyFill="1" applyBorder="1" applyAlignment="1">
      <alignment horizontal="left"/>
    </xf>
    <xf numFmtId="165" fontId="0" fillId="2" borderId="49" xfId="0" applyNumberFormat="1" applyFill="1" applyBorder="1" applyAlignment="1">
      <alignment horizontal="left"/>
    </xf>
    <xf numFmtId="0" fontId="0" fillId="2" borderId="56" xfId="0" applyFill="1" applyBorder="1"/>
    <xf numFmtId="171" fontId="0" fillId="2" borderId="49" xfId="0" applyNumberFormat="1" applyFill="1" applyBorder="1" applyAlignment="1">
      <alignment horizontal="left"/>
    </xf>
    <xf numFmtId="11" fontId="0" fillId="2" borderId="59" xfId="0" applyNumberFormat="1" applyFill="1" applyBorder="1" applyAlignment="1">
      <alignment horizontal="left"/>
    </xf>
    <xf numFmtId="171" fontId="0" fillId="2" borderId="60" xfId="0" applyNumberFormat="1" applyFill="1" applyBorder="1" applyAlignment="1">
      <alignment horizontal="left"/>
    </xf>
    <xf numFmtId="0" fontId="2" fillId="2" borderId="56" xfId="0" applyFont="1" applyFill="1" applyBorder="1" applyAlignment="1">
      <alignment wrapText="1"/>
    </xf>
    <xf numFmtId="165" fontId="0" fillId="2" borderId="60" xfId="0" applyNumberFormat="1" applyFill="1" applyBorder="1" applyAlignment="1">
      <alignment horizontal="left"/>
    </xf>
    <xf numFmtId="0" fontId="0" fillId="2" borderId="0" xfId="0"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0" fillId="2" borderId="58" xfId="0" applyFill="1" applyBorder="1" applyAlignment="1">
      <alignment vertical="center" wrapText="1"/>
    </xf>
    <xf numFmtId="2" fontId="0" fillId="2" borderId="59" xfId="0" applyNumberFormat="1" applyFill="1" applyBorder="1" applyAlignment="1">
      <alignment vertical="center" wrapText="1"/>
    </xf>
    <xf numFmtId="0" fontId="2" fillId="2" borderId="48" xfId="0" applyFont="1" applyFill="1" applyBorder="1" applyAlignment="1">
      <alignment vertical="center" wrapText="1"/>
    </xf>
    <xf numFmtId="171" fontId="0" fillId="2" borderId="49" xfId="0" applyNumberFormat="1" applyFill="1" applyBorder="1" applyAlignment="1">
      <alignment vertical="center"/>
    </xf>
    <xf numFmtId="0" fontId="0" fillId="2" borderId="56" xfId="0" applyFill="1" applyBorder="1" applyAlignment="1">
      <alignment vertical="center" wrapText="1"/>
    </xf>
    <xf numFmtId="171" fontId="0" fillId="2" borderId="60" xfId="0" applyNumberFormat="1" applyFill="1" applyBorder="1" applyAlignment="1">
      <alignment vertical="center"/>
    </xf>
    <xf numFmtId="0" fontId="0" fillId="2" borderId="63" xfId="0" applyFill="1" applyBorder="1" applyAlignment="1" applyProtection="1">
      <alignment vertical="center"/>
      <protection locked="0"/>
    </xf>
    <xf numFmtId="2" fontId="0" fillId="2" borderId="59" xfId="0" applyNumberFormat="1" applyFill="1" applyBorder="1" applyAlignment="1">
      <alignment vertical="center"/>
    </xf>
    <xf numFmtId="0" fontId="0" fillId="2" borderId="64" xfId="0" applyFill="1" applyBorder="1" applyAlignment="1" applyProtection="1">
      <alignment horizontal="right" vertical="center"/>
      <protection locked="0"/>
    </xf>
    <xf numFmtId="0" fontId="0" fillId="2" borderId="65" xfId="0" applyFill="1" applyBorder="1" applyAlignment="1" applyProtection="1">
      <alignment horizontal="right" vertical="center"/>
      <protection locked="0"/>
    </xf>
    <xf numFmtId="0" fontId="0" fillId="2" borderId="66" xfId="0" applyFill="1" applyBorder="1" applyAlignment="1" applyProtection="1">
      <alignment vertical="center"/>
      <protection locked="0"/>
    </xf>
    <xf numFmtId="0" fontId="0" fillId="2" borderId="67" xfId="0" applyFill="1" applyBorder="1" applyAlignment="1" applyProtection="1">
      <alignment horizontal="right" vertical="center"/>
      <protection locked="0"/>
    </xf>
    <xf numFmtId="0" fontId="0" fillId="2" borderId="68" xfId="0" applyFill="1" applyBorder="1" applyAlignment="1" applyProtection="1">
      <alignment horizontal="right" vertical="center"/>
      <protection locked="0"/>
    </xf>
    <xf numFmtId="11" fontId="0" fillId="2" borderId="68" xfId="0" applyNumberFormat="1"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8" xfId="0" applyFill="1" applyBorder="1" applyAlignment="1">
      <alignment vertical="center"/>
    </xf>
    <xf numFmtId="2" fontId="0" fillId="2" borderId="68" xfId="0" applyNumberFormat="1" applyFill="1" applyBorder="1" applyAlignment="1" applyProtection="1">
      <alignment horizontal="right" vertical="center"/>
      <protection locked="0"/>
    </xf>
    <xf numFmtId="1" fontId="0" fillId="2" borderId="68" xfId="0" applyNumberFormat="1" applyFill="1" applyBorder="1" applyAlignment="1" applyProtection="1">
      <alignment horizontal="right" vertical="center"/>
      <protection locked="0"/>
    </xf>
    <xf numFmtId="0" fontId="0" fillId="2" borderId="48" xfId="0" applyFill="1" applyBorder="1" applyAlignment="1">
      <alignment vertical="center"/>
    </xf>
    <xf numFmtId="165" fontId="0" fillId="2" borderId="49" xfId="0" applyNumberFormat="1" applyFill="1" applyBorder="1" applyAlignment="1">
      <alignment vertical="center"/>
    </xf>
    <xf numFmtId="0" fontId="0" fillId="2" borderId="43" xfId="0" applyFill="1" applyBorder="1" applyAlignment="1" applyProtection="1">
      <alignment horizontal="right" vertical="center"/>
      <protection locked="0"/>
    </xf>
    <xf numFmtId="0" fontId="0" fillId="2" borderId="69" xfId="0" applyFill="1" applyBorder="1" applyAlignment="1" applyProtection="1">
      <alignment horizontal="right" vertical="center"/>
      <protection locked="0"/>
    </xf>
    <xf numFmtId="0" fontId="0" fillId="2" borderId="34" xfId="0" applyFill="1" applyBorder="1" applyAlignment="1" applyProtection="1">
      <alignment vertical="center"/>
      <protection locked="0"/>
    </xf>
    <xf numFmtId="0" fontId="0" fillId="2" borderId="56" xfId="0" applyFill="1" applyBorder="1" applyAlignment="1">
      <alignment vertical="center"/>
    </xf>
    <xf numFmtId="0" fontId="0" fillId="2" borderId="59" xfId="0" applyFill="1" applyBorder="1" applyAlignment="1">
      <alignment vertical="center"/>
    </xf>
    <xf numFmtId="1" fontId="0" fillId="2" borderId="49" xfId="0" applyNumberFormat="1" applyFill="1" applyBorder="1" applyAlignment="1">
      <alignment vertical="center"/>
    </xf>
    <xf numFmtId="1" fontId="0" fillId="2" borderId="60" xfId="0" applyNumberFormat="1" applyFill="1" applyBorder="1" applyAlignment="1">
      <alignment vertical="center"/>
    </xf>
    <xf numFmtId="0" fontId="0" fillId="2" borderId="72" xfId="0" applyFill="1" applyBorder="1" applyAlignment="1" applyProtection="1">
      <alignment horizontal="right" vertical="center"/>
      <protection locked="0"/>
    </xf>
    <xf numFmtId="0" fontId="0" fillId="2" borderId="73" xfId="0" applyFill="1" applyBorder="1" applyAlignment="1" applyProtection="1">
      <alignment horizontal="right" vertical="center"/>
      <protection locked="0"/>
    </xf>
    <xf numFmtId="0" fontId="0" fillId="2" borderId="74" xfId="0" applyFill="1" applyBorder="1" applyAlignment="1" applyProtection="1">
      <alignment horizontal="right" vertical="center"/>
      <protection locked="0"/>
    </xf>
    <xf numFmtId="0" fontId="0" fillId="2" borderId="40" xfId="0" applyFill="1" applyBorder="1" applyAlignment="1" applyProtection="1">
      <alignment horizontal="right" vertical="center"/>
      <protection locked="0"/>
    </xf>
    <xf numFmtId="11" fontId="0" fillId="2" borderId="40" xfId="0" applyNumberFormat="1" applyFill="1" applyBorder="1" applyAlignment="1" applyProtection="1">
      <alignment horizontal="right" vertical="center"/>
      <protection locked="0"/>
    </xf>
    <xf numFmtId="2" fontId="0" fillId="2" borderId="40" xfId="0" applyNumberFormat="1" applyFill="1" applyBorder="1" applyAlignment="1" applyProtection="1">
      <alignment horizontal="right" vertical="center"/>
      <protection locked="0"/>
    </xf>
    <xf numFmtId="1" fontId="0" fillId="2" borderId="40" xfId="0" applyNumberFormat="1" applyFill="1" applyBorder="1" applyAlignment="1" applyProtection="1">
      <alignment horizontal="right" vertical="center"/>
      <protection locked="0"/>
    </xf>
    <xf numFmtId="0" fontId="0" fillId="2" borderId="75"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3" fillId="2" borderId="0" xfId="0" applyFont="1" applyFill="1" applyAlignment="1">
      <alignment horizontal="center" vertical="center"/>
    </xf>
    <xf numFmtId="0" fontId="3" fillId="2" borderId="0" xfId="0" applyFont="1" applyFill="1" applyAlignment="1">
      <alignment horizontal="center"/>
    </xf>
    <xf numFmtId="0" fontId="15" fillId="7" borderId="0" xfId="0" applyFont="1" applyFill="1"/>
    <xf numFmtId="0" fontId="15" fillId="9" borderId="0" xfId="0" applyFont="1" applyFill="1"/>
    <xf numFmtId="0" fontId="16" fillId="9" borderId="0" xfId="0" applyFont="1" applyFill="1" applyAlignment="1">
      <alignment horizontal="left" vertical="top" wrapText="1"/>
    </xf>
    <xf numFmtId="0" fontId="16" fillId="9" borderId="0" xfId="0" applyFont="1" applyFill="1" applyAlignment="1">
      <alignment horizontal="left" vertical="top"/>
    </xf>
    <xf numFmtId="0" fontId="16" fillId="7" borderId="0" xfId="0" applyFont="1" applyFill="1" applyAlignment="1">
      <alignment horizontal="left" vertical="top"/>
    </xf>
    <xf numFmtId="0" fontId="3" fillId="7" borderId="0" xfId="0" applyFont="1" applyFill="1" applyAlignment="1">
      <alignment horizontal="center" vertical="center"/>
    </xf>
    <xf numFmtId="0" fontId="15" fillId="2" borderId="0" xfId="0" applyFont="1" applyFill="1" applyAlignment="1">
      <alignment horizontal="center" vertical="center"/>
    </xf>
    <xf numFmtId="0" fontId="20" fillId="9" borderId="0" xfId="0" applyFont="1" applyFill="1"/>
    <xf numFmtId="0" fontId="20" fillId="7" borderId="0" xfId="0" applyFont="1" applyFill="1"/>
    <xf numFmtId="0" fontId="15" fillId="2" borderId="0" xfId="0" applyFont="1" applyFill="1"/>
    <xf numFmtId="0" fontId="0" fillId="9" borderId="0" xfId="0" applyFill="1"/>
    <xf numFmtId="0" fontId="15" fillId="2" borderId="76" xfId="0" applyFont="1" applyFill="1" applyBorder="1" applyAlignment="1">
      <alignment vertical="center"/>
    </xf>
    <xf numFmtId="0" fontId="15" fillId="2" borderId="77" xfId="0" applyFont="1" applyFill="1" applyBorder="1" applyAlignment="1">
      <alignment vertical="center"/>
    </xf>
    <xf numFmtId="0" fontId="15" fillId="2" borderId="78" xfId="0" applyFont="1" applyFill="1" applyBorder="1" applyAlignment="1">
      <alignment vertical="center"/>
    </xf>
    <xf numFmtId="0" fontId="15" fillId="2" borderId="0" xfId="0" applyFont="1" applyFill="1" applyAlignment="1">
      <alignment vertical="top" wrapText="1"/>
    </xf>
    <xf numFmtId="0" fontId="15" fillId="8" borderId="0" xfId="0" applyFont="1" applyFill="1" applyAlignment="1">
      <alignment vertical="top" wrapText="1"/>
    </xf>
    <xf numFmtId="0" fontId="15" fillId="7" borderId="0" xfId="0" applyFont="1" applyFill="1" applyAlignment="1">
      <alignment vertical="top" wrapText="1"/>
    </xf>
    <xf numFmtId="0" fontId="15" fillId="2" borderId="79" xfId="0" applyFont="1" applyFill="1" applyBorder="1" applyAlignment="1">
      <alignment horizontal="left" vertical="center" wrapText="1"/>
    </xf>
    <xf numFmtId="0" fontId="15" fillId="2" borderId="77" xfId="0" applyFont="1" applyFill="1" applyBorder="1" applyAlignment="1">
      <alignment horizontal="left" vertical="center" wrapText="1"/>
    </xf>
    <xf numFmtId="0" fontId="15" fillId="2" borderId="78" xfId="0" applyFont="1" applyFill="1" applyBorder="1" applyAlignment="1">
      <alignment horizontal="left" vertical="center" wrapText="1"/>
    </xf>
    <xf numFmtId="0" fontId="15" fillId="8" borderId="0" xfId="0" applyFont="1" applyFill="1"/>
    <xf numFmtId="0" fontId="3" fillId="7" borderId="0" xfId="0" applyFont="1" applyFill="1" applyAlignment="1">
      <alignment wrapText="1"/>
    </xf>
    <xf numFmtId="0" fontId="15" fillId="2" borderId="78" xfId="0" applyFont="1" applyFill="1" applyBorder="1" applyAlignment="1">
      <alignment horizontal="left" wrapText="1"/>
    </xf>
    <xf numFmtId="0" fontId="22" fillId="2" borderId="0" xfId="0" applyFont="1" applyFill="1"/>
    <xf numFmtId="0" fontId="3" fillId="7" borderId="0" xfId="0" applyFont="1" applyFill="1" applyAlignment="1">
      <alignment horizontal="center"/>
    </xf>
    <xf numFmtId="0" fontId="15" fillId="7" borderId="0" xfId="0" applyFont="1" applyFill="1" applyAlignment="1">
      <alignment horizontal="center"/>
    </xf>
    <xf numFmtId="0" fontId="23" fillId="7" borderId="0" xfId="0" applyFont="1" applyFill="1" applyAlignment="1">
      <alignment horizontal="center"/>
    </xf>
    <xf numFmtId="0" fontId="15" fillId="10" borderId="80" xfId="0" applyFont="1" applyFill="1" applyBorder="1" applyAlignment="1">
      <alignment horizontal="center" vertical="center" wrapText="1"/>
    </xf>
    <xf numFmtId="0" fontId="15" fillId="2" borderId="0" xfId="0" applyFont="1" applyFill="1" applyAlignment="1">
      <alignment horizontal="center"/>
    </xf>
    <xf numFmtId="0" fontId="15" fillId="6" borderId="81" xfId="0" applyFont="1" applyFill="1" applyBorder="1" applyAlignment="1" applyProtection="1">
      <alignment horizontal="center" vertical="center"/>
      <protection locked="0"/>
    </xf>
    <xf numFmtId="10" fontId="15" fillId="6" borderId="82" xfId="2" applyNumberFormat="1" applyFont="1" applyFill="1" applyBorder="1" applyAlignment="1" applyProtection="1">
      <alignment horizontal="center" vertical="center"/>
      <protection locked="0"/>
    </xf>
    <xf numFmtId="0" fontId="15" fillId="6" borderId="83" xfId="0" applyFont="1" applyFill="1" applyBorder="1" applyAlignment="1" applyProtection="1">
      <alignment horizontal="center" vertical="center"/>
      <protection locked="0"/>
    </xf>
    <xf numFmtId="10" fontId="15" fillId="6" borderId="84" xfId="2" applyNumberFormat="1" applyFont="1" applyFill="1" applyBorder="1" applyAlignment="1" applyProtection="1">
      <alignment horizontal="center" vertical="center"/>
      <protection locked="0"/>
    </xf>
    <xf numFmtId="0" fontId="15" fillId="11" borderId="83" xfId="0" applyFont="1" applyFill="1" applyBorder="1" applyAlignment="1">
      <alignment horizontal="center" vertical="center"/>
    </xf>
    <xf numFmtId="0" fontId="15" fillId="6" borderId="85" xfId="0" applyFont="1" applyFill="1" applyBorder="1" applyAlignment="1" applyProtection="1">
      <alignment horizontal="center" vertical="center"/>
      <protection locked="0"/>
    </xf>
    <xf numFmtId="10" fontId="15" fillId="6" borderId="19" xfId="2" applyNumberFormat="1" applyFont="1" applyFill="1" applyBorder="1" applyAlignment="1" applyProtection="1">
      <alignment horizontal="center" vertical="center"/>
      <protection locked="0"/>
    </xf>
    <xf numFmtId="10" fontId="15" fillId="6" borderId="20" xfId="2" applyNumberFormat="1" applyFont="1" applyFill="1" applyBorder="1" applyAlignment="1" applyProtection="1">
      <alignment horizontal="center" vertical="center"/>
      <protection locked="0"/>
    </xf>
    <xf numFmtId="0" fontId="15" fillId="6" borderId="86" xfId="0" applyFont="1" applyFill="1" applyBorder="1" applyAlignment="1" applyProtection="1">
      <alignment horizontal="center" vertical="center"/>
      <protection locked="0"/>
    </xf>
    <xf numFmtId="10" fontId="15" fillId="6" borderId="22" xfId="2" applyNumberFormat="1" applyFont="1" applyFill="1" applyBorder="1" applyAlignment="1" applyProtection="1">
      <alignment horizontal="center" vertical="center"/>
      <protection locked="0"/>
    </xf>
    <xf numFmtId="0" fontId="21" fillId="2" borderId="0" xfId="0" applyFont="1" applyFill="1" applyAlignment="1">
      <alignment horizontal="left" vertical="center"/>
    </xf>
    <xf numFmtId="0" fontId="9" fillId="2" borderId="0" xfId="0" applyFont="1" applyFill="1" applyAlignment="1">
      <alignment vertical="top"/>
    </xf>
    <xf numFmtId="0" fontId="9" fillId="2" borderId="0" xfId="0" applyFont="1" applyFill="1" applyAlignment="1">
      <alignment vertical="top" wrapText="1"/>
    </xf>
    <xf numFmtId="0" fontId="9" fillId="8" borderId="31" xfId="0" applyFont="1" applyFill="1" applyBorder="1" applyAlignment="1">
      <alignment vertical="top"/>
    </xf>
    <xf numFmtId="0" fontId="3" fillId="9" borderId="0" xfId="0" applyFont="1" applyFill="1"/>
    <xf numFmtId="0" fontId="3" fillId="8" borderId="0" xfId="0" applyFont="1" applyFill="1" applyAlignment="1">
      <alignment horizontal="center"/>
    </xf>
    <xf numFmtId="0" fontId="3" fillId="9" borderId="31" xfId="0" applyFont="1" applyFill="1" applyBorder="1"/>
    <xf numFmtId="0" fontId="3" fillId="9" borderId="0" xfId="0" applyFont="1" applyFill="1" applyAlignment="1">
      <alignment vertical="top" wrapText="1"/>
    </xf>
    <xf numFmtId="0" fontId="3" fillId="8" borderId="0" xfId="0" applyFont="1" applyFill="1"/>
    <xf numFmtId="164" fontId="15" fillId="6" borderId="81" xfId="1" applyNumberFormat="1" applyFont="1" applyFill="1" applyBorder="1" applyAlignment="1" applyProtection="1">
      <alignment horizontal="center" vertical="center"/>
      <protection locked="0"/>
    </xf>
    <xf numFmtId="10" fontId="15" fillId="11" borderId="86" xfId="2" applyNumberFormat="1" applyFont="1" applyFill="1" applyBorder="1" applyAlignment="1" applyProtection="1">
      <alignment horizontal="center" vertical="center"/>
    </xf>
    <xf numFmtId="164" fontId="15" fillId="11" borderId="80" xfId="1" applyNumberFormat="1" applyFont="1" applyFill="1" applyBorder="1" applyAlignment="1" applyProtection="1">
      <alignment horizontal="center"/>
    </xf>
    <xf numFmtId="0" fontId="24" fillId="2" borderId="0" xfId="0" applyFont="1" applyFill="1" applyAlignment="1">
      <alignment horizontal="left" vertical="top" wrapText="1"/>
    </xf>
    <xf numFmtId="0" fontId="3" fillId="2" borderId="0" xfId="0" applyFont="1" applyFill="1" applyAlignment="1">
      <alignment horizontal="left"/>
    </xf>
    <xf numFmtId="0" fontId="8" fillId="2" borderId="0" xfId="0" applyFont="1" applyFill="1"/>
    <xf numFmtId="0" fontId="25" fillId="2" borderId="87" xfId="0" applyFont="1" applyFill="1" applyBorder="1" applyAlignment="1">
      <alignment horizontal="center" wrapText="1"/>
    </xf>
    <xf numFmtId="0" fontId="15" fillId="2" borderId="88" xfId="0" applyFont="1" applyFill="1" applyBorder="1" applyAlignment="1">
      <alignment vertical="top" wrapText="1"/>
    </xf>
    <xf numFmtId="0" fontId="19" fillId="3" borderId="36" xfId="0" applyFont="1" applyFill="1" applyBorder="1" applyAlignment="1">
      <alignment horizontal="center" vertical="center"/>
    </xf>
    <xf numFmtId="0" fontId="19" fillId="3" borderId="37" xfId="0" applyFont="1" applyFill="1" applyBorder="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0" fontId="17" fillId="2" borderId="0" xfId="0" applyFont="1" applyFill="1" applyAlignment="1">
      <alignment horizontal="center" vertical="center" wrapText="1"/>
    </xf>
    <xf numFmtId="0" fontId="18" fillId="0" borderId="0" xfId="0" applyFont="1" applyAlignment="1">
      <alignment vertical="center"/>
    </xf>
    <xf numFmtId="0" fontId="14" fillId="2" borderId="0" xfId="0" applyFont="1" applyFill="1" applyAlignment="1">
      <alignment horizontal="center" vertical="center"/>
    </xf>
    <xf numFmtId="0" fontId="0" fillId="0" borderId="0" xfId="0"/>
    <xf numFmtId="0" fontId="15" fillId="6" borderId="28" xfId="0" applyFont="1" applyFill="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31" xfId="0" applyFont="1" applyBorder="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33"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2" borderId="28" xfId="0" applyFont="1" applyFill="1" applyBorder="1" applyAlignment="1">
      <alignment horizontal="left" vertical="top" wrapText="1"/>
    </xf>
    <xf numFmtId="0" fontId="15" fillId="2" borderId="30" xfId="0" applyFont="1" applyFill="1" applyBorder="1" applyAlignment="1">
      <alignment horizontal="left" vertical="top" wrapText="1"/>
    </xf>
    <xf numFmtId="0" fontId="15" fillId="2" borderId="31" xfId="0" applyFont="1" applyFill="1" applyBorder="1" applyAlignment="1">
      <alignment horizontal="left" vertical="top" wrapText="1"/>
    </xf>
    <xf numFmtId="0" fontId="15" fillId="2" borderId="32" xfId="0" applyFont="1" applyFill="1" applyBorder="1" applyAlignment="1">
      <alignment horizontal="left" vertical="top" wrapText="1"/>
    </xf>
    <xf numFmtId="0" fontId="0" fillId="0" borderId="31" xfId="0" applyBorder="1"/>
    <xf numFmtId="0" fontId="0" fillId="0" borderId="32" xfId="0" applyBorder="1"/>
    <xf numFmtId="0" fontId="0" fillId="0" borderId="33" xfId="0" applyBorder="1"/>
    <xf numFmtId="0" fontId="0" fillId="0" borderId="35" xfId="0" applyBorder="1"/>
    <xf numFmtId="0" fontId="24" fillId="2" borderId="0" xfId="0" applyFont="1" applyFill="1" applyAlignment="1">
      <alignment horizontal="left" vertical="top" wrapText="1"/>
    </xf>
    <xf numFmtId="0" fontId="21" fillId="2" borderId="29" xfId="0" applyFont="1" applyFill="1" applyBorder="1" applyAlignment="1">
      <alignment horizontal="left" vertical="top" wrapText="1"/>
    </xf>
    <xf numFmtId="0" fontId="21" fillId="2" borderId="0" xfId="0" applyFont="1" applyFill="1" applyAlignment="1">
      <alignment horizontal="left" vertical="top" wrapText="1"/>
    </xf>
    <xf numFmtId="0" fontId="18" fillId="2" borderId="0" xfId="0" applyFont="1" applyFill="1"/>
    <xf numFmtId="0" fontId="20" fillId="3" borderId="37" xfId="0" applyFont="1" applyFill="1" applyBorder="1"/>
    <xf numFmtId="0" fontId="19" fillId="3" borderId="36" xfId="0" applyFont="1" applyFill="1" applyBorder="1" applyAlignment="1">
      <alignment horizontal="center" vertical="center" wrapText="1"/>
    </xf>
    <xf numFmtId="0" fontId="20" fillId="0" borderId="37" xfId="0" applyFont="1" applyBorder="1" applyAlignment="1">
      <alignment horizontal="center" vertical="center" wrapText="1"/>
    </xf>
    <xf numFmtId="0" fontId="19" fillId="3" borderId="37" xfId="0" applyFont="1" applyFill="1" applyBorder="1" applyAlignment="1">
      <alignment horizontal="center" vertical="center" wrapText="1"/>
    </xf>
    <xf numFmtId="0" fontId="13" fillId="3" borderId="1"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0" fillId="4" borderId="62" xfId="0" applyFill="1" applyBorder="1" applyAlignment="1" applyProtection="1">
      <alignment horizontal="center" vertical="center"/>
      <protection locked="0"/>
    </xf>
    <xf numFmtId="0" fontId="0" fillId="4" borderId="70" xfId="0" applyFill="1" applyBorder="1" applyAlignment="1" applyProtection="1">
      <alignment horizontal="center" vertical="center"/>
      <protection locked="0"/>
    </xf>
    <xf numFmtId="0" fontId="0" fillId="4" borderId="71" xfId="0" applyFill="1" applyBorder="1" applyAlignment="1" applyProtection="1">
      <alignment horizontal="center" vertical="center"/>
      <protection locked="0"/>
    </xf>
    <xf numFmtId="0" fontId="4" fillId="8" borderId="0" xfId="0" applyFont="1" applyFill="1" applyAlignment="1">
      <alignment horizontal="center" vertic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7" fillId="2" borderId="28"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0" xfId="0" applyFont="1" applyFill="1" applyBorder="1" applyAlignment="1">
      <alignment horizontal="left" vertical="top" wrapText="1"/>
    </xf>
    <xf numFmtId="0" fontId="7" fillId="2" borderId="31" xfId="0" applyFont="1" applyFill="1" applyBorder="1" applyAlignment="1">
      <alignment horizontal="left" vertical="top" wrapText="1"/>
    </xf>
    <xf numFmtId="0" fontId="7" fillId="2" borderId="0" xfId="0" applyFont="1" applyFill="1" applyAlignment="1">
      <alignment horizontal="left" vertical="top" wrapText="1"/>
    </xf>
    <xf numFmtId="0" fontId="7" fillId="2" borderId="32" xfId="0" applyFont="1" applyFill="1" applyBorder="1" applyAlignment="1">
      <alignment horizontal="left" vertical="top" wrapText="1"/>
    </xf>
    <xf numFmtId="0" fontId="7" fillId="2" borderId="33" xfId="0" applyFont="1" applyFill="1" applyBorder="1" applyAlignment="1">
      <alignment horizontal="left" vertical="top" wrapText="1"/>
    </xf>
    <xf numFmtId="0" fontId="7" fillId="2" borderId="34" xfId="0" applyFont="1" applyFill="1" applyBorder="1" applyAlignment="1">
      <alignment horizontal="left" vertical="top" wrapText="1"/>
    </xf>
    <xf numFmtId="0" fontId="7" fillId="2" borderId="35" xfId="0" applyFont="1" applyFill="1" applyBorder="1" applyAlignment="1">
      <alignment horizontal="left" vertical="top" wrapText="1"/>
    </xf>
    <xf numFmtId="0" fontId="9" fillId="2" borderId="0" xfId="0" applyFont="1" applyFill="1" applyAlignment="1">
      <alignment horizontal="left" wrapText="1"/>
    </xf>
    <xf numFmtId="0" fontId="3" fillId="2" borderId="36" xfId="0" applyFont="1" applyFill="1" applyBorder="1" applyAlignment="1" applyProtection="1">
      <alignment vertical="top" wrapText="1"/>
      <protection locked="0"/>
    </xf>
    <xf numFmtId="0" fontId="0" fillId="0" borderId="45" xfId="0" applyBorder="1" applyAlignment="1" applyProtection="1">
      <alignment vertical="top" wrapText="1"/>
      <protection locked="0"/>
    </xf>
    <xf numFmtId="0" fontId="0" fillId="0" borderId="45" xfId="0" applyBorder="1" applyProtection="1">
      <protection locked="0"/>
    </xf>
    <xf numFmtId="0" fontId="0" fillId="0" borderId="37" xfId="0" applyBorder="1" applyProtection="1">
      <protection locked="0"/>
    </xf>
    <xf numFmtId="0" fontId="3" fillId="2" borderId="36" xfId="0" applyFont="1" applyFill="1" applyBorder="1" applyAlignment="1" applyProtection="1">
      <alignment wrapText="1"/>
      <protection locked="0"/>
    </xf>
    <xf numFmtId="0" fontId="0" fillId="0" borderId="45" xfId="0" applyBorder="1" applyAlignment="1" applyProtection="1">
      <alignment wrapText="1"/>
      <protection locked="0"/>
    </xf>
    <xf numFmtId="0" fontId="3" fillId="2" borderId="28" xfId="0" applyFont="1" applyFill="1" applyBorder="1" applyAlignment="1" applyProtection="1">
      <alignment horizontal="left" vertical="top"/>
      <protection locked="0"/>
    </xf>
    <xf numFmtId="0" fontId="3" fillId="2" borderId="29" xfId="0" applyFont="1" applyFill="1" applyBorder="1" applyAlignment="1" applyProtection="1">
      <alignment horizontal="left" vertical="top"/>
      <protection locked="0"/>
    </xf>
    <xf numFmtId="0" fontId="3" fillId="2" borderId="30" xfId="0" applyFont="1" applyFill="1" applyBorder="1" applyAlignment="1" applyProtection="1">
      <alignment horizontal="left" vertical="top"/>
      <protection locked="0"/>
    </xf>
    <xf numFmtId="0" fontId="3" fillId="2" borderId="31"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32" xfId="0" applyFont="1" applyFill="1" applyBorder="1" applyAlignment="1" applyProtection="1">
      <alignment horizontal="left" vertical="top"/>
      <protection locked="0"/>
    </xf>
    <xf numFmtId="0" fontId="3" fillId="2" borderId="33" xfId="0" applyFont="1" applyFill="1" applyBorder="1" applyAlignment="1" applyProtection="1">
      <alignment horizontal="left" vertical="top"/>
      <protection locked="0"/>
    </xf>
    <xf numFmtId="0" fontId="3" fillId="2" borderId="34" xfId="0" applyFont="1" applyFill="1" applyBorder="1" applyAlignment="1" applyProtection="1">
      <alignment horizontal="left" vertical="top"/>
      <protection locked="0"/>
    </xf>
    <xf numFmtId="0" fontId="3" fillId="2" borderId="35" xfId="0" applyFont="1" applyFill="1" applyBorder="1" applyAlignment="1" applyProtection="1">
      <alignment horizontal="left" vertical="top"/>
      <protection locked="0"/>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8" xfId="0" applyFont="1" applyFill="1" applyBorder="1" applyAlignment="1">
      <alignment horizontal="center"/>
    </xf>
    <xf numFmtId="0" fontId="5" fillId="3" borderId="30" xfId="0" applyFont="1" applyFill="1" applyBorder="1" applyAlignment="1">
      <alignment horizontal="center"/>
    </xf>
    <xf numFmtId="0" fontId="5" fillId="3" borderId="33" xfId="0" applyFont="1" applyFill="1" applyBorder="1" applyAlignment="1">
      <alignment horizontal="center"/>
    </xf>
    <xf numFmtId="0" fontId="5" fillId="3" borderId="35" xfId="0" applyFont="1" applyFill="1" applyBorder="1" applyAlignment="1">
      <alignment horizontal="center"/>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8" xfId="0" applyFont="1" applyFill="1" applyBorder="1" applyAlignment="1">
      <alignment horizontal="center" vertical="center"/>
    </xf>
  </cellXfs>
  <cellStyles count="3">
    <cellStyle name="Komma" xfId="1" builtinId="3"/>
    <cellStyle name="Procent" xfId="2" builtinId="5"/>
    <cellStyle name="Standaard" xfId="0" builtinId="0"/>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257175" y="152400"/>
          <a:ext cx="904875" cy="926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90500" y="155575"/>
          <a:ext cx="780415" cy="814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88290" y="187325"/>
          <a:ext cx="668020" cy="6610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
  <sheetViews>
    <sheetView showGridLines="0" showRowColHeaders="0" workbookViewId="0">
      <selection activeCell="B3" sqref="B3"/>
    </sheetView>
  </sheetViews>
  <sheetFormatPr defaultColWidth="9.140625" defaultRowHeight="14.25"/>
  <cols>
    <col min="1" max="1" width="2.5703125" style="52" customWidth="1"/>
    <col min="2" max="2" width="92.85546875" style="52" customWidth="1"/>
    <col min="3" max="16384" width="9.140625" style="52"/>
  </cols>
  <sheetData>
    <row r="1" spans="2:2" ht="9" customHeight="1"/>
    <row r="2" spans="2:2" ht="89.25" customHeight="1">
      <c r="B2" s="208" t="s">
        <v>0</v>
      </c>
    </row>
    <row r="3" spans="2:2" ht="293.25">
      <c r="B3" s="209" t="s">
        <v>1</v>
      </c>
    </row>
    <row r="4" spans="2:2">
      <c r="B4" s="73"/>
    </row>
  </sheetData>
  <sheetProtection sheet="1" objects="1" scenarios="1"/>
  <phoneticPr fontId="42" type="noConversion"/>
  <pageMargins left="0.69930555555555596" right="0.69930555555555596" top="0.75" bottom="0.75" header="0.3" footer="0.3"/>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6"/>
  <sheetViews>
    <sheetView showGridLines="0" showRowColHeaders="0" tabSelected="1" zoomScale="60" zoomScaleNormal="60" workbookViewId="0">
      <selection activeCell="I41" sqref="I41"/>
    </sheetView>
  </sheetViews>
  <sheetFormatPr defaultColWidth="9.140625" defaultRowHeight="14.25"/>
  <cols>
    <col min="1" max="1" width="1.85546875" style="52" customWidth="1"/>
    <col min="2" max="2" width="1.5703125" style="52" customWidth="1"/>
    <col min="3" max="3" width="16.5703125" style="52" customWidth="1"/>
    <col min="4" max="4" width="28.140625" style="52" customWidth="1"/>
    <col min="5" max="6" width="1.85546875" style="52" customWidth="1"/>
    <col min="7" max="7" width="2.5703125" style="52" customWidth="1"/>
    <col min="8" max="8" width="59.5703125" style="52" customWidth="1"/>
    <col min="9" max="9" width="19.140625" style="52" customWidth="1"/>
    <col min="10" max="10" width="2.28515625" style="52" customWidth="1"/>
    <col min="11" max="11" width="13.5703125" style="153" customWidth="1"/>
    <col min="12" max="12" width="27.28515625" style="153" customWidth="1"/>
    <col min="13" max="13" width="1.28515625" style="153" customWidth="1"/>
    <col min="14" max="14" width="13.28515625" style="153" customWidth="1"/>
    <col min="15" max="15" width="26.140625" style="153" customWidth="1"/>
    <col min="16" max="16" width="1.28515625" style="153" customWidth="1"/>
    <col min="17" max="17" width="13.42578125" style="153" customWidth="1"/>
    <col min="18" max="18" width="27.28515625" style="153" customWidth="1"/>
    <col min="19" max="19" width="2.140625" style="52" customWidth="1"/>
    <col min="20" max="20" width="1.85546875" style="52" customWidth="1"/>
    <col min="21" max="16384" width="9.140625" style="52"/>
  </cols>
  <sheetData>
    <row r="1" spans="1:33" ht="9.75" customHeight="1">
      <c r="A1" s="51"/>
      <c r="B1" s="51"/>
      <c r="C1" s="51"/>
      <c r="D1" s="51"/>
      <c r="E1" s="51"/>
      <c r="F1" s="51"/>
      <c r="G1" s="51"/>
      <c r="H1" s="51"/>
      <c r="I1" s="51"/>
      <c r="J1" s="51"/>
      <c r="K1" s="178"/>
      <c r="L1" s="178"/>
      <c r="M1" s="178"/>
      <c r="N1" s="178"/>
      <c r="O1" s="178"/>
      <c r="P1" s="178"/>
      <c r="Q1" s="178"/>
      <c r="R1" s="178"/>
      <c r="S1" s="51"/>
      <c r="T1" s="51"/>
    </row>
    <row r="2" spans="1:33" ht="14.25" customHeight="1">
      <c r="A2" s="51"/>
      <c r="B2" s="216" t="s">
        <v>2</v>
      </c>
      <c r="C2" s="217"/>
      <c r="D2" s="217"/>
      <c r="E2" s="217"/>
      <c r="F2" s="217"/>
      <c r="G2" s="217"/>
      <c r="H2" s="217"/>
      <c r="I2" s="217"/>
      <c r="J2" s="217"/>
      <c r="K2" s="217"/>
      <c r="L2" s="217"/>
      <c r="M2" s="217"/>
      <c r="N2" s="217"/>
      <c r="O2" s="217"/>
      <c r="P2" s="217"/>
      <c r="Q2" s="217"/>
      <c r="R2" s="217"/>
      <c r="S2" s="217"/>
      <c r="T2" s="51"/>
    </row>
    <row r="3" spans="1:33" ht="14.25" customHeight="1">
      <c r="A3" s="51"/>
      <c r="B3" s="217"/>
      <c r="C3" s="217"/>
      <c r="D3" s="217"/>
      <c r="E3" s="217"/>
      <c r="F3" s="217"/>
      <c r="G3" s="217"/>
      <c r="H3" s="217"/>
      <c r="I3" s="217"/>
      <c r="J3" s="217"/>
      <c r="K3" s="217"/>
      <c r="L3" s="217"/>
      <c r="M3" s="217"/>
      <c r="N3" s="217"/>
      <c r="O3" s="217"/>
      <c r="P3" s="217"/>
      <c r="Q3" s="217"/>
      <c r="R3" s="217"/>
      <c r="S3" s="217"/>
      <c r="T3" s="51"/>
    </row>
    <row r="4" spans="1:33" ht="14.25" customHeight="1">
      <c r="A4" s="51"/>
      <c r="B4" s="217"/>
      <c r="C4" s="217"/>
      <c r="D4" s="217"/>
      <c r="E4" s="217"/>
      <c r="F4" s="217"/>
      <c r="G4" s="217"/>
      <c r="H4" s="217"/>
      <c r="I4" s="217"/>
      <c r="J4" s="217"/>
      <c r="K4" s="217"/>
      <c r="L4" s="217"/>
      <c r="M4" s="217"/>
      <c r="N4" s="217"/>
      <c r="O4" s="217"/>
      <c r="P4" s="217"/>
      <c r="Q4" s="217"/>
      <c r="R4" s="217"/>
      <c r="S4" s="217"/>
      <c r="T4" s="51"/>
    </row>
    <row r="5" spans="1:33" ht="24.75" customHeight="1">
      <c r="A5" s="51"/>
      <c r="B5" s="217"/>
      <c r="C5" s="217"/>
      <c r="D5" s="217"/>
      <c r="E5" s="217"/>
      <c r="F5" s="217"/>
      <c r="G5" s="217"/>
      <c r="H5" s="217"/>
      <c r="I5" s="217"/>
      <c r="J5" s="217"/>
      <c r="K5" s="217"/>
      <c r="L5" s="217"/>
      <c r="M5" s="217"/>
      <c r="N5" s="217"/>
      <c r="O5" s="217"/>
      <c r="P5" s="217"/>
      <c r="Q5" s="217"/>
      <c r="R5" s="217"/>
      <c r="S5" s="217"/>
      <c r="T5" s="51"/>
    </row>
    <row r="6" spans="1:33" ht="9" customHeight="1">
      <c r="A6" s="51"/>
      <c r="B6" s="154"/>
      <c r="C6" s="154"/>
      <c r="D6" s="154"/>
      <c r="E6" s="154"/>
      <c r="F6" s="154"/>
      <c r="G6" s="154"/>
      <c r="H6" s="154"/>
      <c r="I6" s="154"/>
      <c r="J6" s="154"/>
      <c r="K6" s="179"/>
      <c r="L6" s="179"/>
      <c r="M6" s="179"/>
      <c r="N6" s="180"/>
      <c r="O6" s="179"/>
      <c r="P6" s="179"/>
      <c r="Q6" s="179"/>
      <c r="R6" s="179"/>
      <c r="S6" s="51"/>
      <c r="T6" s="51"/>
    </row>
    <row r="7" spans="1:33" ht="34.5" customHeight="1">
      <c r="A7" s="51"/>
      <c r="B7" s="155"/>
      <c r="C7" s="156"/>
      <c r="D7" s="157"/>
      <c r="E7" s="157"/>
      <c r="F7" s="158"/>
      <c r="G7" s="212" t="s">
        <v>3</v>
      </c>
      <c r="H7" s="235"/>
      <c r="I7" s="235"/>
      <c r="J7" s="235"/>
      <c r="K7" s="235"/>
      <c r="L7" s="235"/>
      <c r="M7" s="235"/>
      <c r="N7" s="235"/>
      <c r="O7" s="235"/>
      <c r="P7" s="235"/>
      <c r="Q7" s="235"/>
      <c r="R7" s="235"/>
      <c r="S7" s="235"/>
      <c r="T7" s="51"/>
    </row>
    <row r="8" spans="1:33" s="152" customFormat="1" ht="39" customHeight="1">
      <c r="A8" s="159"/>
      <c r="B8" s="160"/>
      <c r="C8" s="210" t="s">
        <v>4</v>
      </c>
      <c r="D8" s="236"/>
      <c r="E8" s="161"/>
      <c r="F8" s="162"/>
      <c r="G8" s="160"/>
      <c r="H8" s="237" t="s">
        <v>5</v>
      </c>
      <c r="I8" s="238"/>
      <c r="J8" s="160"/>
      <c r="K8" s="237" t="str">
        <f>IF(I21="","Tested Case Temperature 1",CONCATENATE("Test Data for ",I21,"⁰C Case Temperature"))</f>
        <v>Test Data for 85⁰C Case Temperature</v>
      </c>
      <c r="L8" s="239"/>
      <c r="M8" s="160"/>
      <c r="N8" s="237" t="str">
        <f>IF(I22="","Tested Case Temperature 2",CONCATENATE("Test Data for ",I22,"⁰C Case Temperature"))</f>
        <v>Test Data for 105⁰C Case Temperature</v>
      </c>
      <c r="O8" s="239"/>
      <c r="P8" s="160"/>
      <c r="Q8" s="237" t="str">
        <f>IF(I23="","Tested Case Temperature 3",CONCATENATE("Test Data for ",I23,"⁰C Case Temperature"))</f>
        <v>Tested Case Temperature 3</v>
      </c>
      <c r="R8" s="239"/>
      <c r="T8" s="159"/>
    </row>
    <row r="9" spans="1:33" ht="48" customHeight="1">
      <c r="A9" s="51"/>
      <c r="B9" s="163"/>
      <c r="C9" s="224" t="s">
        <v>6</v>
      </c>
      <c r="D9" s="225"/>
      <c r="E9" s="164"/>
      <c r="F9" s="50"/>
      <c r="G9" s="163"/>
      <c r="H9" s="218"/>
      <c r="I9" s="219"/>
      <c r="J9" s="163"/>
      <c r="K9" s="181" t="s">
        <v>7</v>
      </c>
      <c r="L9" s="181" t="s">
        <v>8</v>
      </c>
      <c r="M9" s="182"/>
      <c r="N9" s="181" t="s">
        <v>7</v>
      </c>
      <c r="O9" s="181" t="s">
        <v>8</v>
      </c>
      <c r="P9" s="182"/>
      <c r="Q9" s="181" t="s">
        <v>7</v>
      </c>
      <c r="R9" s="181" t="s">
        <v>8</v>
      </c>
      <c r="T9" s="51"/>
      <c r="AG9" s="207"/>
    </row>
    <row r="10" spans="1:33" ht="15" customHeight="1">
      <c r="A10" s="51"/>
      <c r="B10" s="163"/>
      <c r="C10" s="226"/>
      <c r="D10" s="227"/>
      <c r="E10" s="164"/>
      <c r="F10" s="50"/>
      <c r="G10" s="163"/>
      <c r="H10" s="220"/>
      <c r="I10" s="221"/>
      <c r="J10" s="163"/>
      <c r="K10" s="183">
        <v>0</v>
      </c>
      <c r="L10" s="184">
        <v>1</v>
      </c>
      <c r="M10" s="160"/>
      <c r="N10" s="183">
        <v>0</v>
      </c>
      <c r="O10" s="184">
        <v>1</v>
      </c>
      <c r="P10" s="160"/>
      <c r="Q10" s="183"/>
      <c r="R10" s="184"/>
      <c r="T10" s="51"/>
      <c r="AG10" s="207"/>
    </row>
    <row r="11" spans="1:33" ht="18" customHeight="1">
      <c r="A11" s="51"/>
      <c r="B11" s="163"/>
      <c r="C11" s="226"/>
      <c r="D11" s="227"/>
      <c r="E11" s="164"/>
      <c r="F11" s="50"/>
      <c r="G11" s="163"/>
      <c r="H11" s="220"/>
      <c r="I11" s="221"/>
      <c r="J11" s="163"/>
      <c r="K11" s="185">
        <v>1000</v>
      </c>
      <c r="L11" s="186">
        <v>0.99860000000000004</v>
      </c>
      <c r="M11" s="160"/>
      <c r="N11" s="185">
        <v>1000</v>
      </c>
      <c r="O11" s="190">
        <v>0.998</v>
      </c>
      <c r="P11" s="160"/>
      <c r="Q11" s="185"/>
      <c r="R11" s="190"/>
      <c r="T11" s="51"/>
      <c r="AG11" s="207"/>
    </row>
    <row r="12" spans="1:33" ht="18.75" customHeight="1">
      <c r="A12" s="51"/>
      <c r="B12" s="163"/>
      <c r="C12" s="226"/>
      <c r="D12" s="227"/>
      <c r="E12" s="164"/>
      <c r="F12" s="50"/>
      <c r="G12" s="163"/>
      <c r="H12" s="222"/>
      <c r="I12" s="223"/>
      <c r="J12" s="163"/>
      <c r="K12" s="185">
        <v>2000</v>
      </c>
      <c r="L12" s="186">
        <v>0.99739999999999995</v>
      </c>
      <c r="M12" s="160"/>
      <c r="N12" s="185">
        <v>2000</v>
      </c>
      <c r="O12" s="190">
        <v>0.99629999999999996</v>
      </c>
      <c r="P12" s="160"/>
      <c r="Q12" s="185"/>
      <c r="R12" s="190"/>
      <c r="T12" s="51"/>
      <c r="AG12" s="207"/>
    </row>
    <row r="13" spans="1:33" ht="18" customHeight="1">
      <c r="A13" s="51"/>
      <c r="B13" s="163"/>
      <c r="C13" s="226"/>
      <c r="D13" s="227"/>
      <c r="E13" s="164"/>
      <c r="F13" s="50"/>
      <c r="G13" s="163"/>
      <c r="H13" s="163"/>
      <c r="I13" s="163"/>
      <c r="J13" s="163"/>
      <c r="K13" s="185">
        <v>3000</v>
      </c>
      <c r="L13" s="186">
        <v>0.99570000000000003</v>
      </c>
      <c r="M13" s="160"/>
      <c r="N13" s="185">
        <v>3000</v>
      </c>
      <c r="O13" s="190">
        <v>0.99409999999999998</v>
      </c>
      <c r="P13" s="160"/>
      <c r="Q13" s="185"/>
      <c r="R13" s="190"/>
      <c r="T13" s="51"/>
      <c r="AG13" s="207"/>
    </row>
    <row r="14" spans="1:33" ht="18.75" customHeight="1">
      <c r="A14" s="51"/>
      <c r="B14" s="163"/>
      <c r="C14" s="226"/>
      <c r="D14" s="227"/>
      <c r="E14" s="164"/>
      <c r="F14" s="50"/>
      <c r="G14" s="163"/>
      <c r="H14" s="163"/>
      <c r="I14" s="163"/>
      <c r="J14" s="163"/>
      <c r="K14" s="185">
        <v>4000</v>
      </c>
      <c r="L14" s="186">
        <v>0.99419999999999997</v>
      </c>
      <c r="M14" s="160"/>
      <c r="N14" s="185">
        <v>4000</v>
      </c>
      <c r="O14" s="190">
        <v>0.99170000000000003</v>
      </c>
      <c r="P14" s="160"/>
      <c r="Q14" s="185"/>
      <c r="R14" s="190"/>
      <c r="T14" s="51"/>
      <c r="AG14" s="207"/>
    </row>
    <row r="15" spans="1:33" ht="18.75" customHeight="1">
      <c r="A15" s="51"/>
      <c r="B15" s="163"/>
      <c r="C15" s="226"/>
      <c r="D15" s="227"/>
      <c r="E15" s="164"/>
      <c r="F15" s="50"/>
      <c r="G15" s="163"/>
      <c r="H15" s="210" t="s">
        <v>9</v>
      </c>
      <c r="I15" s="211"/>
      <c r="J15" s="163"/>
      <c r="K15" s="185">
        <v>5000</v>
      </c>
      <c r="L15" s="186">
        <v>0.99280000000000002</v>
      </c>
      <c r="M15" s="160"/>
      <c r="N15" s="185">
        <v>5000</v>
      </c>
      <c r="O15" s="190">
        <v>0.9899</v>
      </c>
      <c r="P15" s="160"/>
      <c r="Q15" s="185"/>
      <c r="R15" s="190"/>
      <c r="T15" s="51"/>
      <c r="AG15" s="207"/>
    </row>
    <row r="16" spans="1:33" ht="19.5" customHeight="1">
      <c r="A16" s="51"/>
      <c r="B16" s="163"/>
      <c r="C16" s="226"/>
      <c r="D16" s="227"/>
      <c r="E16" s="164"/>
      <c r="F16" s="50"/>
      <c r="G16" s="163"/>
      <c r="H16" s="165" t="s">
        <v>10</v>
      </c>
      <c r="I16" s="183">
        <v>25</v>
      </c>
      <c r="J16" s="163"/>
      <c r="K16" s="185">
        <v>6000</v>
      </c>
      <c r="L16" s="186">
        <v>0.99129999999999996</v>
      </c>
      <c r="M16" s="160"/>
      <c r="N16" s="185">
        <v>6000</v>
      </c>
      <c r="O16" s="190">
        <v>0.98760000000000003</v>
      </c>
      <c r="P16" s="160"/>
      <c r="Q16" s="185"/>
      <c r="R16" s="190"/>
      <c r="T16" s="51"/>
      <c r="AG16" s="207"/>
    </row>
    <row r="17" spans="1:33" ht="19.5" customHeight="1">
      <c r="A17" s="51"/>
      <c r="B17" s="163"/>
      <c r="C17" s="226"/>
      <c r="D17" s="227"/>
      <c r="E17" s="164"/>
      <c r="F17" s="50"/>
      <c r="G17" s="163"/>
      <c r="H17" s="166" t="s">
        <v>11</v>
      </c>
      <c r="I17" s="185">
        <v>0</v>
      </c>
      <c r="J17" s="163"/>
      <c r="K17" s="185">
        <v>7000</v>
      </c>
      <c r="L17" s="186">
        <v>0.98970000000000002</v>
      </c>
      <c r="M17" s="160"/>
      <c r="N17" s="185">
        <v>7000</v>
      </c>
      <c r="O17" s="190">
        <v>0.98560000000000003</v>
      </c>
      <c r="P17" s="160"/>
      <c r="Q17" s="185"/>
      <c r="R17" s="190"/>
      <c r="T17" s="51"/>
      <c r="AG17" s="207"/>
    </row>
    <row r="18" spans="1:33" ht="19.5" customHeight="1">
      <c r="A18" s="51"/>
      <c r="B18" s="163"/>
      <c r="C18" s="226"/>
      <c r="D18" s="227"/>
      <c r="E18" s="164"/>
      <c r="F18" s="50"/>
      <c r="G18" s="163"/>
      <c r="H18" s="166" t="s">
        <v>12</v>
      </c>
      <c r="I18" s="187">
        <f>IF(I16="","",I16-I17)</f>
        <v>25</v>
      </c>
      <c r="J18" s="163"/>
      <c r="K18" s="185">
        <v>8000</v>
      </c>
      <c r="L18" s="186">
        <v>0.98819999999999997</v>
      </c>
      <c r="M18" s="160"/>
      <c r="N18" s="185">
        <v>8000</v>
      </c>
      <c r="O18" s="190">
        <v>0.98340000000000005</v>
      </c>
      <c r="P18" s="160"/>
      <c r="Q18" s="185"/>
      <c r="R18" s="190"/>
      <c r="T18" s="51"/>
      <c r="AG18" s="207"/>
    </row>
    <row r="19" spans="1:33" ht="19.5" customHeight="1">
      <c r="A19" s="51"/>
      <c r="B19" s="163"/>
      <c r="C19" s="226"/>
      <c r="D19" s="227"/>
      <c r="E19" s="164"/>
      <c r="F19" s="50"/>
      <c r="G19" s="163"/>
      <c r="H19" s="166" t="s">
        <v>13</v>
      </c>
      <c r="I19" s="185">
        <v>9000</v>
      </c>
      <c r="J19" s="163"/>
      <c r="K19" s="185">
        <v>9000</v>
      </c>
      <c r="L19" s="186">
        <v>0.98640000000000005</v>
      </c>
      <c r="M19" s="160"/>
      <c r="N19" s="185">
        <v>9000</v>
      </c>
      <c r="O19" s="190">
        <v>0.98070000000000002</v>
      </c>
      <c r="P19" s="160"/>
      <c r="Q19" s="185"/>
      <c r="R19" s="190"/>
      <c r="T19" s="51"/>
      <c r="AG19" s="207"/>
    </row>
    <row r="20" spans="1:33" ht="19.5" customHeight="1">
      <c r="A20" s="51"/>
      <c r="B20" s="163"/>
      <c r="C20" s="226"/>
      <c r="D20" s="227"/>
      <c r="E20" s="164"/>
      <c r="F20" s="50"/>
      <c r="G20" s="163"/>
      <c r="H20" s="166" t="s">
        <v>14</v>
      </c>
      <c r="I20" s="185">
        <v>100</v>
      </c>
      <c r="J20" s="163"/>
      <c r="K20" s="185"/>
      <c r="L20" s="186"/>
      <c r="M20" s="160"/>
      <c r="N20" s="185"/>
      <c r="O20" s="186"/>
      <c r="P20" s="160"/>
      <c r="Q20" s="185"/>
      <c r="R20" s="190"/>
      <c r="T20" s="51"/>
      <c r="AG20" s="207"/>
    </row>
    <row r="21" spans="1:33" ht="19.5" customHeight="1">
      <c r="A21" s="51"/>
      <c r="B21" s="163"/>
      <c r="C21" s="226"/>
      <c r="D21" s="227"/>
      <c r="E21" s="164"/>
      <c r="F21" s="50"/>
      <c r="G21" s="163"/>
      <c r="H21" s="166" t="s">
        <v>15</v>
      </c>
      <c r="I21" s="185">
        <v>85</v>
      </c>
      <c r="J21" s="163"/>
      <c r="K21" s="185"/>
      <c r="L21" s="186"/>
      <c r="M21" s="160"/>
      <c r="N21" s="185"/>
      <c r="O21" s="186"/>
      <c r="P21" s="160"/>
      <c r="Q21" s="185"/>
      <c r="R21" s="190"/>
      <c r="T21" s="51"/>
      <c r="AG21" s="207"/>
    </row>
    <row r="22" spans="1:33" ht="19.5" customHeight="1">
      <c r="A22" s="51"/>
      <c r="B22" s="163"/>
      <c r="C22" s="226"/>
      <c r="D22" s="227"/>
      <c r="E22" s="164"/>
      <c r="F22" s="50"/>
      <c r="G22" s="163"/>
      <c r="H22" s="166" t="s">
        <v>16</v>
      </c>
      <c r="I22" s="185">
        <v>105</v>
      </c>
      <c r="J22" s="163"/>
      <c r="K22" s="188"/>
      <c r="L22" s="189"/>
      <c r="M22" s="160"/>
      <c r="N22" s="185"/>
      <c r="O22" s="190"/>
      <c r="P22" s="160"/>
      <c r="Q22" s="185"/>
      <c r="R22" s="190"/>
      <c r="T22" s="51"/>
      <c r="AG22" s="207"/>
    </row>
    <row r="23" spans="1:33" ht="21" customHeight="1">
      <c r="A23" s="51"/>
      <c r="B23" s="163"/>
      <c r="C23" s="226"/>
      <c r="D23" s="227"/>
      <c r="E23" s="164"/>
      <c r="F23" s="50"/>
      <c r="G23" s="163"/>
      <c r="H23" s="167" t="s">
        <v>17</v>
      </c>
      <c r="I23" s="191"/>
      <c r="J23" s="163"/>
      <c r="K23" s="185"/>
      <c r="L23" s="190"/>
      <c r="M23" s="160"/>
      <c r="N23" s="185"/>
      <c r="O23" s="190"/>
      <c r="P23" s="160"/>
      <c r="Q23" s="185"/>
      <c r="R23" s="190"/>
      <c r="T23" s="51"/>
    </row>
    <row r="24" spans="1:33" ht="20.25" customHeight="1">
      <c r="A24" s="51"/>
      <c r="B24" s="163"/>
      <c r="C24" s="226"/>
      <c r="D24" s="227"/>
      <c r="E24" s="164"/>
      <c r="F24" s="50"/>
      <c r="G24" s="163"/>
      <c r="H24" s="233" t="str">
        <f>IF(AND(I22&lt;&gt;"",I21=""),"Please enter value for 'Tested Case Temperature 1'",IF(AND(OR(I21="",I22=""),I23&lt;&gt;""),"Please enter values for 'Tested Case Temperature 1' and Tested Case Temperature 2'",""))</f>
        <v/>
      </c>
      <c r="I24" s="233"/>
      <c r="J24" s="163"/>
      <c r="K24" s="185"/>
      <c r="L24" s="190"/>
      <c r="M24" s="160"/>
      <c r="N24" s="185"/>
      <c r="O24" s="190"/>
      <c r="P24" s="160"/>
      <c r="Q24" s="185"/>
      <c r="R24" s="190"/>
      <c r="T24" s="51"/>
    </row>
    <row r="25" spans="1:33" ht="18" customHeight="1">
      <c r="A25" s="51"/>
      <c r="B25" s="163"/>
      <c r="C25" s="226"/>
      <c r="D25" s="227"/>
      <c r="E25" s="164"/>
      <c r="F25" s="50"/>
      <c r="G25" s="163"/>
      <c r="H25" s="234"/>
      <c r="I25" s="234"/>
      <c r="J25" s="163"/>
      <c r="K25" s="185"/>
      <c r="L25" s="190"/>
      <c r="M25" s="160"/>
      <c r="N25" s="185"/>
      <c r="O25" s="190"/>
      <c r="P25" s="160"/>
      <c r="Q25" s="185"/>
      <c r="R25" s="190"/>
      <c r="T25" s="51"/>
    </row>
    <row r="26" spans="1:33" ht="18.75" customHeight="1">
      <c r="A26" s="51"/>
      <c r="B26" s="163"/>
      <c r="C26" s="226"/>
      <c r="D26" s="227"/>
      <c r="E26" s="164"/>
      <c r="F26" s="50"/>
      <c r="G26" s="163"/>
      <c r="H26" s="234"/>
      <c r="I26" s="234"/>
      <c r="J26" s="163"/>
      <c r="K26" s="185"/>
      <c r="L26" s="190"/>
      <c r="M26" s="160"/>
      <c r="N26" s="185"/>
      <c r="O26" s="190"/>
      <c r="P26" s="160"/>
      <c r="Q26" s="185"/>
      <c r="R26" s="190"/>
      <c r="T26" s="51"/>
    </row>
    <row r="27" spans="1:33" ht="21" customHeight="1">
      <c r="A27" s="51"/>
      <c r="B27" s="163"/>
      <c r="C27" s="226"/>
      <c r="D27" s="227"/>
      <c r="E27" s="164"/>
      <c r="F27" s="50"/>
      <c r="G27" s="163"/>
      <c r="J27" s="163"/>
      <c r="K27" s="185"/>
      <c r="L27" s="190"/>
      <c r="M27" s="160"/>
      <c r="N27" s="185"/>
      <c r="O27" s="190"/>
      <c r="P27" s="160"/>
      <c r="Q27" s="185"/>
      <c r="R27" s="190"/>
      <c r="T27" s="51"/>
    </row>
    <row r="28" spans="1:33" ht="18.75" customHeight="1">
      <c r="A28" s="51"/>
      <c r="B28" s="163"/>
      <c r="C28" s="226"/>
      <c r="D28" s="227"/>
      <c r="E28" s="164"/>
      <c r="F28" s="50"/>
      <c r="G28" s="163"/>
      <c r="J28" s="168"/>
      <c r="K28" s="185"/>
      <c r="L28" s="190"/>
      <c r="M28" s="160"/>
      <c r="N28" s="185"/>
      <c r="O28" s="190"/>
      <c r="P28" s="160"/>
      <c r="Q28" s="185"/>
      <c r="R28" s="190"/>
      <c r="T28" s="51"/>
    </row>
    <row r="29" spans="1:33" ht="19.5" customHeight="1">
      <c r="A29" s="51"/>
      <c r="B29" s="168"/>
      <c r="C29" s="226"/>
      <c r="D29" s="227"/>
      <c r="E29" s="169"/>
      <c r="F29" s="170"/>
      <c r="G29" s="168"/>
      <c r="J29" s="168"/>
      <c r="K29" s="191"/>
      <c r="L29" s="192"/>
      <c r="M29" s="160"/>
      <c r="N29" s="191"/>
      <c r="O29" s="192"/>
      <c r="P29" s="160"/>
      <c r="Q29" s="191"/>
      <c r="R29" s="192"/>
      <c r="T29" s="51"/>
    </row>
    <row r="30" spans="1:33" ht="23.25" customHeight="1">
      <c r="A30" s="51"/>
      <c r="B30" s="168"/>
      <c r="C30" s="226"/>
      <c r="D30" s="227"/>
      <c r="E30" s="168"/>
      <c r="F30" s="170"/>
      <c r="G30" s="168"/>
      <c r="J30" s="168"/>
      <c r="K30" s="193" t="str">
        <f>IF(OR('Calculations - Case Temp 1'!C26="FAIL",'Calculations - Case Temp 2'!C26="FAIL",'Calculations - Case Temp 3'!C26="FAIL"),"Data measurement points must be equally dispersed in time. Please see TM-21 Addendum A for details.","")</f>
        <v/>
      </c>
      <c r="L30" s="182"/>
      <c r="M30" s="182"/>
      <c r="N30" s="182"/>
      <c r="O30" s="182"/>
      <c r="P30" s="182"/>
      <c r="Q30" s="182"/>
      <c r="R30" s="182"/>
      <c r="T30" s="51"/>
    </row>
    <row r="31" spans="1:33" ht="10.5" customHeight="1">
      <c r="A31" s="51"/>
      <c r="B31" s="169"/>
      <c r="C31" s="226"/>
      <c r="D31" s="227"/>
      <c r="E31" s="169"/>
      <c r="F31" s="170"/>
      <c r="G31" s="170"/>
      <c r="H31" s="51"/>
      <c r="I31" s="51"/>
      <c r="J31" s="170"/>
      <c r="K31" s="179"/>
      <c r="L31" s="179"/>
      <c r="M31" s="179"/>
      <c r="N31" s="179"/>
      <c r="O31" s="179"/>
      <c r="P31" s="179"/>
      <c r="Q31" s="179"/>
      <c r="R31" s="179"/>
      <c r="S31" s="51"/>
      <c r="T31" s="51"/>
    </row>
    <row r="32" spans="1:33" ht="27" customHeight="1">
      <c r="A32" s="51"/>
      <c r="B32" s="169"/>
      <c r="C32" s="226"/>
      <c r="D32" s="227"/>
      <c r="E32" s="169"/>
      <c r="F32" s="170"/>
      <c r="G32" s="168"/>
      <c r="H32" s="212" t="s">
        <v>18</v>
      </c>
      <c r="I32" s="213"/>
      <c r="K32" s="182"/>
      <c r="N32" s="182"/>
      <c r="O32" s="182"/>
      <c r="P32" s="179"/>
      <c r="Q32" s="182"/>
      <c r="R32" s="182"/>
    </row>
    <row r="33" spans="1:18" ht="37.5" customHeight="1">
      <c r="A33" s="51"/>
      <c r="B33" s="169"/>
      <c r="C33" s="226"/>
      <c r="D33" s="227"/>
      <c r="E33" s="169"/>
      <c r="F33" s="170"/>
      <c r="H33" s="171" t="s">
        <v>19</v>
      </c>
      <c r="I33" s="183">
        <v>100</v>
      </c>
      <c r="J33" s="194" t="str">
        <f>IF(I33&gt;I20,"The drive current of the chip in the luminaire must be less than or equal to the chip as tested under LM-80.","")</f>
        <v/>
      </c>
      <c r="K33" s="195"/>
      <c r="L33" s="195"/>
      <c r="N33" s="182"/>
      <c r="O33" s="182"/>
      <c r="P33" s="51"/>
      <c r="Q33" s="182"/>
      <c r="R33" s="182"/>
    </row>
    <row r="34" spans="1:18" ht="23.25" customHeight="1">
      <c r="A34" s="51"/>
      <c r="B34" s="169"/>
      <c r="C34" s="226"/>
      <c r="D34" s="227"/>
      <c r="E34" s="169"/>
      <c r="F34" s="170"/>
      <c r="H34" s="172" t="s">
        <v>20</v>
      </c>
      <c r="I34" s="185">
        <v>65</v>
      </c>
      <c r="J34" s="196" t="str">
        <f>IF('TM-21 Inputs'!I34&gt;MAX('TM-21 Inputs'!I21:I23),"In situ case temperature must be less than or equal to the maximum LM-80 test temperature.","")</f>
        <v/>
      </c>
      <c r="K34" s="197"/>
      <c r="L34" s="197"/>
      <c r="M34" s="198"/>
      <c r="N34" s="182"/>
      <c r="O34" s="182"/>
      <c r="P34" s="51"/>
      <c r="Q34" s="182"/>
      <c r="R34" s="182"/>
    </row>
    <row r="35" spans="1:18" ht="40.5" customHeight="1">
      <c r="A35" s="51"/>
      <c r="B35" s="169"/>
      <c r="C35" s="226"/>
      <c r="D35" s="227"/>
      <c r="E35" s="169"/>
      <c r="F35" s="170"/>
      <c r="H35" s="173" t="s">
        <v>21</v>
      </c>
      <c r="I35" s="191">
        <v>90</v>
      </c>
      <c r="J35" s="199"/>
      <c r="K35" s="197"/>
      <c r="L35" s="197"/>
      <c r="M35" s="198"/>
      <c r="N35" s="182"/>
      <c r="O35" s="182"/>
      <c r="P35" s="51"/>
      <c r="Q35" s="182"/>
      <c r="R35" s="182"/>
    </row>
    <row r="36" spans="1:18" ht="11.25" customHeight="1">
      <c r="A36" s="51"/>
      <c r="B36" s="169"/>
      <c r="C36" s="226"/>
      <c r="D36" s="227"/>
      <c r="E36" s="169"/>
      <c r="F36" s="170"/>
      <c r="H36" s="54"/>
      <c r="J36" s="200"/>
      <c r="K36" s="200"/>
      <c r="L36" s="201"/>
      <c r="M36" s="198"/>
      <c r="N36" s="182"/>
      <c r="O36" s="182"/>
      <c r="P36" s="51"/>
      <c r="Q36" s="182"/>
      <c r="R36" s="182"/>
    </row>
    <row r="37" spans="1:18" ht="11.25" customHeight="1">
      <c r="A37" s="51"/>
      <c r="B37" s="174"/>
      <c r="C37" s="226"/>
      <c r="D37" s="227"/>
      <c r="E37" s="174"/>
      <c r="F37" s="170"/>
      <c r="G37" s="154"/>
      <c r="H37" s="175"/>
      <c r="I37" s="51"/>
      <c r="J37" s="154"/>
      <c r="K37" s="179"/>
      <c r="L37" s="179"/>
      <c r="M37" s="179"/>
      <c r="N37" s="179"/>
      <c r="O37" s="179"/>
      <c r="P37" s="179"/>
      <c r="Q37" s="182"/>
      <c r="R37" s="182"/>
    </row>
    <row r="38" spans="1:18" ht="23.25" customHeight="1">
      <c r="A38" s="51"/>
      <c r="B38" s="174"/>
      <c r="C38" s="226"/>
      <c r="D38" s="227"/>
      <c r="E38" s="174"/>
      <c r="F38" s="170"/>
      <c r="H38" s="214" t="s">
        <v>22</v>
      </c>
      <c r="I38" s="215"/>
      <c r="K38" s="182"/>
      <c r="L38" s="182"/>
      <c r="N38" s="182"/>
      <c r="O38" s="182"/>
      <c r="P38" s="179"/>
      <c r="Q38" s="182"/>
      <c r="R38" s="182"/>
    </row>
    <row r="39" spans="1:18" ht="4.5" customHeight="1">
      <c r="A39" s="51"/>
      <c r="C39" s="226"/>
      <c r="D39" s="227"/>
      <c r="F39" s="170"/>
      <c r="H39" s="54"/>
      <c r="P39" s="178"/>
    </row>
    <row r="40" spans="1:18" ht="33.75" customHeight="1">
      <c r="A40" s="51"/>
      <c r="C40" s="226"/>
      <c r="D40" s="227"/>
      <c r="F40" s="170"/>
      <c r="H40" s="171" t="s">
        <v>23</v>
      </c>
      <c r="I40" s="202">
        <v>50000</v>
      </c>
      <c r="J40" s="177"/>
      <c r="P40" s="178"/>
    </row>
    <row r="41" spans="1:18" ht="18">
      <c r="A41" s="51"/>
      <c r="C41" s="226"/>
      <c r="D41" s="227"/>
      <c r="F41" s="170"/>
      <c r="H41" s="173" t="s">
        <v>24</v>
      </c>
      <c r="I41" s="203">
        <f>IFERROR(IF(K30="",IF(I40="","",IF('TM-21 Inputs'!I34="","",'Product Inputs'!C14*EXP(-I40*'Product Inputs'!C16))),""),"")</f>
        <v>0.92506952386726127</v>
      </c>
      <c r="J41" s="232"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2"/>
      <c r="L41" s="232"/>
      <c r="M41" s="232"/>
      <c r="N41" s="232"/>
      <c r="O41" s="232"/>
      <c r="P41" s="178"/>
    </row>
    <row r="42" spans="1:18" ht="18.75" customHeight="1">
      <c r="A42" s="51"/>
      <c r="C42" s="228"/>
      <c r="D42" s="229"/>
      <c r="F42" s="170"/>
      <c r="H42" s="176" t="str">
        <f>IF(I35="","Reported LM (hours):",CONCATENATE("Reported L",'TM-21 Inputs'!I35," (hours):"))</f>
        <v>Reported L90 (hours):</v>
      </c>
      <c r="I42" s="204" t="str">
        <f>IFERROR(IF(K30="",IF('Product Inputs'!C18="error","",'Product Inputs'!C18),""),"")</f>
        <v>&gt;54000</v>
      </c>
      <c r="J42" s="232"/>
      <c r="K42" s="232"/>
      <c r="L42" s="232"/>
      <c r="M42" s="232"/>
      <c r="N42" s="232"/>
      <c r="O42" s="232"/>
      <c r="P42" s="178"/>
    </row>
    <row r="43" spans="1:18" ht="18">
      <c r="A43" s="51"/>
      <c r="C43" s="230"/>
      <c r="D43" s="231"/>
      <c r="F43" s="170"/>
      <c r="J43" s="232"/>
      <c r="K43" s="232"/>
      <c r="L43" s="232"/>
      <c r="M43" s="232"/>
      <c r="N43" s="232"/>
      <c r="O43" s="232"/>
      <c r="P43" s="178"/>
    </row>
    <row r="44" spans="1:18" ht="11.25" customHeight="1">
      <c r="A44" s="51"/>
      <c r="F44" s="170"/>
      <c r="J44" s="205"/>
      <c r="K44" s="205"/>
      <c r="L44" s="206"/>
      <c r="M44" s="206"/>
      <c r="N44" s="206"/>
      <c r="O44" s="206"/>
      <c r="P44" s="178"/>
    </row>
    <row r="45" spans="1:18" ht="11.25" customHeight="1">
      <c r="A45" s="51"/>
      <c r="B45" s="51"/>
      <c r="C45" s="51"/>
      <c r="D45" s="51"/>
      <c r="E45" s="51"/>
      <c r="F45" s="51"/>
      <c r="G45" s="51"/>
      <c r="H45" s="51"/>
      <c r="I45" s="51"/>
      <c r="J45" s="51"/>
      <c r="K45" s="178"/>
      <c r="L45" s="178"/>
      <c r="M45" s="179"/>
      <c r="N45" s="179"/>
      <c r="O45" s="179"/>
      <c r="P45" s="178"/>
    </row>
    <row r="46" spans="1:18" ht="15">
      <c r="C46" s="177"/>
    </row>
  </sheetData>
  <sheetProtection sheet="1" objects="1" scenarios="1"/>
  <mergeCells count="14">
    <mergeCell ref="H15:I15"/>
    <mergeCell ref="H32:I32"/>
    <mergeCell ref="H38:I38"/>
    <mergeCell ref="B2:S5"/>
    <mergeCell ref="H9:I12"/>
    <mergeCell ref="C9:D43"/>
    <mergeCell ref="J41:O43"/>
    <mergeCell ref="H24:I26"/>
    <mergeCell ref="G7:S7"/>
    <mergeCell ref="C8:D8"/>
    <mergeCell ref="H8:I8"/>
    <mergeCell ref="K8:L8"/>
    <mergeCell ref="N8:O8"/>
    <mergeCell ref="Q8:R8"/>
  </mergeCells>
  <phoneticPr fontId="42" type="noConversion"/>
  <conditionalFormatting sqref="I18">
    <cfRule type="cellIs" dxfId="1" priority="1" operator="lessThan">
      <formula>10</formula>
    </cfRule>
  </conditionalFormatting>
  <pageMargins left="0.69930555555555596" right="0.69930555555555596" top="0.75" bottom="0.75" header="0.3" footer="0.3"/>
  <pageSetup scale="43" orientation="landscape" horizontalDpi="300" verticalDpi="300"/>
  <colBreaks count="1" manualBreakCount="1">
    <brk id="20"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8"/>
  <sheetViews>
    <sheetView showGridLines="0" showRowColHeaders="0" zoomScale="70" zoomScaleNormal="70" workbookViewId="0">
      <selection activeCell="I9" sqref="I9"/>
    </sheetView>
  </sheetViews>
  <sheetFormatPr defaultColWidth="9.140625" defaultRowHeight="15"/>
  <cols>
    <col min="1" max="1" width="9.140625" style="113"/>
    <col min="2" max="2" width="44.85546875" style="113" customWidth="1"/>
    <col min="3" max="3" width="15.42578125" style="113" customWidth="1"/>
    <col min="4" max="4" width="12.28515625" style="1" customWidth="1"/>
    <col min="5" max="5" width="9.140625" style="1"/>
    <col min="6" max="6" width="19.85546875" style="1" customWidth="1"/>
    <col min="7" max="7" width="13" style="1" customWidth="1"/>
    <col min="8" max="8" width="2.85546875" style="1" customWidth="1"/>
    <col min="9" max="9" width="19.85546875" style="1" customWidth="1"/>
    <col min="10" max="10" width="13" style="1" customWidth="1"/>
    <col min="11" max="11" width="2.7109375" style="1" customWidth="1"/>
    <col min="12" max="12" width="19.85546875" style="1" customWidth="1"/>
    <col min="13" max="13" width="13" style="1" customWidth="1"/>
    <col min="14" max="16384" width="9.140625" style="1"/>
  </cols>
  <sheetData>
    <row r="2" spans="2:13">
      <c r="B2" s="114" t="s">
        <v>25</v>
      </c>
      <c r="C2" s="115">
        <f>COUNTIF('TM-21 Inputs'!I21:I23,"&gt;="&amp;0)</f>
        <v>2</v>
      </c>
    </row>
    <row r="3" spans="2:13" ht="30">
      <c r="B3" s="116" t="s">
        <v>26</v>
      </c>
      <c r="C3" s="117">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358.15</v>
      </c>
    </row>
    <row r="4" spans="2:13" ht="18">
      <c r="B4" s="118" t="s">
        <v>27</v>
      </c>
      <c r="C4" s="119">
        <f>IF(C3='Product Inputs'!G7,'Product Inputs'!G8,IF(C3='Product Inputs'!J7,'Product Inputs'!J8,IF(C3='Product Inputs'!M7,'Product Inputs'!M8)))</f>
        <v>1.5694267892753705E-6</v>
      </c>
      <c r="F4" s="240" t="s">
        <v>28</v>
      </c>
      <c r="G4" s="241"/>
      <c r="H4" s="241"/>
      <c r="I4" s="241"/>
      <c r="J4" s="241"/>
      <c r="K4" s="241"/>
      <c r="L4" s="241"/>
      <c r="M4" s="242"/>
    </row>
    <row r="5" spans="2:13" ht="16.5">
      <c r="B5" s="120" t="s">
        <v>29</v>
      </c>
      <c r="C5" s="121">
        <f>IF(C3='Product Inputs'!G7,'Product Inputs'!G9,IF(C3='Product Inputs'!J7,'Product Inputs'!J9,IF(C3='Product Inputs'!M7,'Product Inputs'!M9)))</f>
        <v>1.0005851272273827</v>
      </c>
      <c r="F5" s="243" t="s">
        <v>30</v>
      </c>
      <c r="G5" s="244"/>
      <c r="H5" s="122"/>
      <c r="I5" s="245" t="s">
        <v>31</v>
      </c>
      <c r="J5" s="244"/>
      <c r="K5" s="122"/>
      <c r="L5" s="245" t="s">
        <v>32</v>
      </c>
      <c r="M5" s="246"/>
    </row>
    <row r="6" spans="2:13" ht="30">
      <c r="B6" s="116" t="s">
        <v>33</v>
      </c>
      <c r="C6" s="123" t="str">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N/A</v>
      </c>
      <c r="F6" s="124" t="s">
        <v>34</v>
      </c>
      <c r="G6" s="125">
        <f>IF('TM-21 Inputs'!I21="","",'TM-21 Inputs'!I21)</f>
        <v>85</v>
      </c>
      <c r="H6" s="126"/>
      <c r="I6" s="143" t="s">
        <v>34</v>
      </c>
      <c r="J6" s="125">
        <f>IF('TM-21 Inputs'!I22="","",'TM-21 Inputs'!I22)</f>
        <v>105</v>
      </c>
      <c r="K6" s="126"/>
      <c r="L6" s="143" t="s">
        <v>34</v>
      </c>
      <c r="M6" s="144" t="str">
        <f>IF('TM-21 Inputs'!I23="","",'TM-21 Inputs'!I23)</f>
        <v/>
      </c>
    </row>
    <row r="7" spans="2:13">
      <c r="B7" s="118" t="s">
        <v>35</v>
      </c>
      <c r="C7" s="119" t="str">
        <f>IF(C6="N/A","N/A",IF(C6='Product Inputs'!G7,'Product Inputs'!G8,IF(C6='Product Inputs'!J7,'Product Inputs'!J8,IF(C6='Product Inputs'!M7,'Product Inputs'!M8))))</f>
        <v>N/A</v>
      </c>
      <c r="F7" s="127" t="s">
        <v>36</v>
      </c>
      <c r="G7" s="128">
        <f>IF(G6="","",G6+273.15)</f>
        <v>358.15</v>
      </c>
      <c r="H7" s="126"/>
      <c r="I7" s="145" t="s">
        <v>36</v>
      </c>
      <c r="J7" s="128">
        <f>IF(J6="","",J6+273.15)</f>
        <v>378.15</v>
      </c>
      <c r="K7" s="130"/>
      <c r="L7" s="145" t="s">
        <v>36</v>
      </c>
      <c r="M7" s="146" t="str">
        <f>IF(M6="","",M6+273.15)</f>
        <v/>
      </c>
    </row>
    <row r="8" spans="2:13" ht="16.5">
      <c r="B8" s="120" t="s">
        <v>37</v>
      </c>
      <c r="C8" s="121" t="str">
        <f>IF(C6="N/A","N/A",IF(C6='Product Inputs'!G7,'Product Inputs'!G9,IF(C6='Product Inputs'!J7,'Product Inputs'!J9,IF(C6='Product Inputs'!M7,'Product Inputs'!M9))))</f>
        <v>N/A</v>
      </c>
      <c r="F8" s="127" t="str">
        <f>'Calculations - Case Temp 1'!E31</f>
        <v>α:</v>
      </c>
      <c r="G8" s="129">
        <f>IF(G6="","",'Calculations - Case Temp 1'!F31)</f>
        <v>1.5694267892753705E-6</v>
      </c>
      <c r="H8" s="130"/>
      <c r="I8" s="145" t="str">
        <f>'Calculations - Case Temp 2'!E31</f>
        <v>α:</v>
      </c>
      <c r="J8" s="129">
        <f>IF(J6="","",'Calculations - Case Temp 2'!F31)</f>
        <v>2.2160366429874555E-6</v>
      </c>
      <c r="K8" s="130"/>
      <c r="L8" s="145" t="str">
        <f>'Calculations - Case Temp 3'!E31</f>
        <v>α:</v>
      </c>
      <c r="M8" s="147" t="str">
        <f>IF(M6="","",'Calculations - Case Temp 3'!F31)</f>
        <v/>
      </c>
    </row>
    <row r="9" spans="2:13" ht="16.5">
      <c r="B9" s="131" t="s">
        <v>38</v>
      </c>
      <c r="C9" s="123" t="str">
        <f>IF(OR(C6="N/A",'TM-21 Inputs'!I34=""),"",IF(AND(C3&gt;0,C6&gt;0),(LN(C4)-LN(C7))/((1/C6)-(1/C3)),"error"))</f>
        <v/>
      </c>
      <c r="F9" s="127" t="str">
        <f>'Calculations - Case Temp 1'!E32</f>
        <v>B:</v>
      </c>
      <c r="G9" s="132">
        <f>IF(G6="","",'Calculations - Case Temp 1'!F32)</f>
        <v>1.0005851272273827</v>
      </c>
      <c r="H9" s="130"/>
      <c r="I9" s="145" t="str">
        <f>'Calculations - Case Temp 2'!E32</f>
        <v>B:</v>
      </c>
      <c r="J9" s="132">
        <f>IF(J6="","",'Calculations - Case Temp 2'!F32)</f>
        <v>1.0007885162035635</v>
      </c>
      <c r="K9" s="130"/>
      <c r="L9" s="145" t="str">
        <f>'Calculations - Case Temp 3'!E32</f>
        <v>B:</v>
      </c>
      <c r="M9" s="148" t="str">
        <f>IF(M6="","",'Calculations - Case Temp 3'!F32)</f>
        <v/>
      </c>
    </row>
    <row r="10" spans="2:13" hidden="1">
      <c r="F10" s="127" t="str">
        <f>'Calculations - Case Temp 1'!E33</f>
        <v>Calculated L90 (hrs):</v>
      </c>
      <c r="G10" s="133">
        <f>IF(G6="","",IF('Calculations - Case Temp 1'!C26="FAIL","",'Calculations - Case Temp 1'!F33))</f>
        <v>68000</v>
      </c>
      <c r="H10" s="130"/>
      <c r="I10" s="145" t="str">
        <f>'Calculations - Case Temp 2'!E33</f>
        <v>Calculated L90 (hrs):</v>
      </c>
      <c r="J10" s="133">
        <f>IF(J6="","",IF('Calculations - Case Temp 2'!C26="FAIL","",'Calculations - Case Temp 2'!F33))</f>
        <v>48000</v>
      </c>
      <c r="K10" s="130"/>
      <c r="L10" s="145" t="str">
        <f>'Calculations - Case Temp 3'!E33</f>
        <v>Calculated L90 (hrs):</v>
      </c>
      <c r="M10" s="149" t="str">
        <f>IF(M6="","",IF('Calculations - Case Temp 3'!C26="FAIL","",'Calculations - Case Temp 3'!F33))</f>
        <v/>
      </c>
    </row>
    <row r="11" spans="2:13" ht="16.5">
      <c r="B11" s="134" t="s">
        <v>39</v>
      </c>
      <c r="C11" s="135">
        <f>8.6173*(10^-5)</f>
        <v>8.6173000000000003E-5</v>
      </c>
      <c r="F11" s="136" t="str">
        <f>'Calculations - Case Temp 1'!E34</f>
        <v>Reported L90 (hrs):</v>
      </c>
      <c r="G11" s="137" t="str">
        <f>IF(G6="","",IF('Calculations - Case Temp 1'!C26="FAIL","",'Calculations - Case Temp 1'!F34))</f>
        <v>&gt;54000</v>
      </c>
      <c r="H11" s="138"/>
      <c r="I11" s="150" t="str">
        <f>'Calculations - Case Temp 2'!E34</f>
        <v>Reported L90 (hrs):</v>
      </c>
      <c r="J11" s="137">
        <f>IF(J6="","",IF('Calculations - Case Temp 2'!C26="FAIL","",'Calculations - Case Temp 2'!F34))</f>
        <v>48000</v>
      </c>
      <c r="K11" s="138"/>
      <c r="L11" s="150" t="str">
        <f>'Calculations - Case Temp 3'!E34</f>
        <v>Reported L90 (hrs):</v>
      </c>
      <c r="M11" s="151" t="str">
        <f>IF(M6="","",IF('Calculations - Case Temp 3'!C26="FAIL","",'Calculations - Case Temp 3'!F34))</f>
        <v/>
      </c>
    </row>
    <row r="12" spans="2:13" ht="16.5">
      <c r="B12" s="134" t="s">
        <v>40</v>
      </c>
      <c r="C12" s="135" t="str">
        <f>IF(OR(C6="N/A",'TM-21 Inputs'!I34=""),"",C9*C11)</f>
        <v/>
      </c>
    </row>
    <row r="13" spans="2:13">
      <c r="B13" s="134" t="s">
        <v>41</v>
      </c>
      <c r="C13" s="119" t="str">
        <f>IF(OR(C6="N/A",'TM-21 Inputs'!I34=""),"",IF('TM-21 Inputs'!I34="","",C4*EXP(C12/(C11*C3))))</f>
        <v/>
      </c>
    </row>
    <row r="14" spans="2:13" ht="16.5">
      <c r="B14" s="139" t="s">
        <v>42</v>
      </c>
      <c r="C14" s="121">
        <f>IF('TM-21 Inputs'!I34="","",IF(C6="N/A",C5,IF('TM-21 Inputs'!I34="","",SQRT(C5*C8))))</f>
        <v>1.0005851272273827</v>
      </c>
      <c r="I14" s="1" t="s">
        <v>43</v>
      </c>
    </row>
    <row r="15" spans="2:13" ht="16.5">
      <c r="B15" s="116" t="s">
        <v>44</v>
      </c>
      <c r="C15" s="140">
        <f>IF('TM-21 Inputs'!I34="","",'TM-21 Inputs'!I34+273.15)</f>
        <v>338.15</v>
      </c>
    </row>
    <row r="16" spans="2:13" ht="18">
      <c r="B16" s="118" t="s">
        <v>45</v>
      </c>
      <c r="C16" s="119">
        <f>IF('TM-21 Inputs'!I34="","",IF(C6="N/A",C4,C13*(EXP(-C9/C15))))</f>
        <v>1.5694267892753705E-6</v>
      </c>
    </row>
    <row r="17" spans="2:3" hidden="1">
      <c r="B17" s="134" t="str">
        <f>CONCATENATE("Calculated L",'TM-21 Inputs'!I35," (hrs):")</f>
        <v>Calculated L90 (hrs):</v>
      </c>
      <c r="C17" s="141">
        <f>IF('TM-21 Inputs'!I34="","",ROUND((LN(100*C14/'TM-21 Inputs'!I35)/C16),-3))</f>
        <v>68000</v>
      </c>
    </row>
    <row r="18" spans="2:3">
      <c r="B18" s="139" t="str">
        <f>CONCATENATE("Reported L",'TM-21 Inputs'!I35," (hrs):")</f>
        <v>Reported L90 (hrs):</v>
      </c>
      <c r="C18" s="142" t="str">
        <f>IF(C17="","",IF(OR(AND('TM-21 Inputs'!$I$18&gt;=20,$C$17&lt;6*'TM-21 Inputs'!$I$19),AND('TM-21 Inputs'!$I$18&gt;=10,'TM-21 Inputs'!$I$18&lt;=19,$C$17&lt;5.5*'TM-21 Inputs'!$I$19)),ROUND(C17,-3),IF('TM-21 Inputs'!$I$18&gt;=20,CONCATENATE("&gt;",ROUND((6*'TM-21 Inputs'!$I$19),-3)),IF(AND('TM-21 Inputs'!$I$18&gt;=10,'TM-21 Inputs'!$I$18&lt;=19),CONCATENATE("&gt;",ROUND(5.5*'TM-21 Inputs'!$I$19,-3)),"error"))))</f>
        <v>&gt;54000</v>
      </c>
    </row>
  </sheetData>
  <sheetProtection sheet="1" objects="1" scenarios="1"/>
  <mergeCells count="4">
    <mergeCell ref="F4:M4"/>
    <mergeCell ref="F5:G5"/>
    <mergeCell ref="I5:J5"/>
    <mergeCell ref="L5:M5"/>
  </mergeCells>
  <phoneticPr fontId="42" type="noConversion"/>
  <conditionalFormatting sqref="C3">
    <cfRule type="cellIs" dxfId="0" priority="1" operator="equal">
      <formula>"In situ case temp too high"</formula>
    </cfRule>
  </conditionalFormatting>
  <pageMargins left="0.69930555555555596" right="0.69930555555555596"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5"/>
  <sheetViews>
    <sheetView showGridLines="0" showRowColHeaders="0" topLeftCell="J1" workbookViewId="0">
      <selection activeCell="K11" sqref="K11"/>
    </sheetView>
  </sheetViews>
  <sheetFormatPr defaultColWidth="9.140625" defaultRowHeight="15"/>
  <cols>
    <col min="1" max="1" width="9.140625" style="1" hidden="1" customWidth="1"/>
    <col min="2" max="2" width="37.85546875" style="1" hidden="1" customWidth="1"/>
    <col min="3" max="3" width="12" style="1" hidden="1" customWidth="1"/>
    <col min="4" max="4" width="9.140625" style="1" hidden="1" customWidth="1"/>
    <col min="5" max="5" width="37.85546875" style="1" hidden="1" customWidth="1"/>
    <col min="6" max="6" width="12" style="1" hidden="1" customWidth="1"/>
    <col min="7" max="7" width="9.140625" style="1" hidden="1" customWidth="1"/>
    <col min="8" max="8" width="37.85546875" style="1" hidden="1" customWidth="1"/>
    <col min="9" max="9" width="12" style="1" hidden="1" customWidth="1"/>
    <col min="10" max="10" width="9.140625" style="1"/>
    <col min="11" max="11" width="19.28515625" style="1" customWidth="1"/>
    <col min="12" max="12" width="12" style="1" customWidth="1"/>
    <col min="13" max="16384" width="9.140625" style="1"/>
  </cols>
  <sheetData>
    <row r="2" spans="2:12" ht="16.5">
      <c r="B2" s="92" t="s">
        <v>46</v>
      </c>
      <c r="C2" s="93">
        <f>'TM-21 Inputs'!I16</f>
        <v>25</v>
      </c>
      <c r="E2" s="92" t="s">
        <v>46</v>
      </c>
      <c r="F2" s="93">
        <f>'TM-21 Inputs'!I16</f>
        <v>25</v>
      </c>
      <c r="H2" s="92" t="s">
        <v>46</v>
      </c>
      <c r="I2" s="93">
        <f>'TM-21 Inputs'!I16</f>
        <v>25</v>
      </c>
      <c r="K2" s="102" t="s">
        <v>47</v>
      </c>
      <c r="L2" s="103">
        <f>IFERROR('Product Inputs'!C3-273.15,"")</f>
        <v>85</v>
      </c>
    </row>
    <row r="3" spans="2:12" ht="16.5">
      <c r="B3" s="94" t="s">
        <v>48</v>
      </c>
      <c r="C3" s="95">
        <f>'TM-21 Inputs'!I17</f>
        <v>0</v>
      </c>
      <c r="E3" s="94" t="s">
        <v>48</v>
      </c>
      <c r="F3" s="95">
        <f>'TM-21 Inputs'!I17</f>
        <v>0</v>
      </c>
      <c r="H3" s="94" t="s">
        <v>48</v>
      </c>
      <c r="I3" s="95">
        <f>'TM-21 Inputs'!I17</f>
        <v>0</v>
      </c>
      <c r="K3" s="104" t="s">
        <v>49</v>
      </c>
      <c r="L3" s="105">
        <f>'Product Inputs'!C3</f>
        <v>358.15</v>
      </c>
    </row>
    <row r="4" spans="2:12" ht="18">
      <c r="B4" s="94" t="s">
        <v>50</v>
      </c>
      <c r="C4" s="95">
        <f>'TM-21 Inputs'!I18</f>
        <v>25</v>
      </c>
      <c r="E4" s="94" t="s">
        <v>50</v>
      </c>
      <c r="F4" s="95">
        <f>'TM-21 Inputs'!I18</f>
        <v>25</v>
      </c>
      <c r="H4" s="94" t="s">
        <v>50</v>
      </c>
      <c r="I4" s="95">
        <f>'TM-21 Inputs'!I18</f>
        <v>25</v>
      </c>
      <c r="K4" s="97" t="s">
        <v>27</v>
      </c>
      <c r="L4" s="106">
        <f>'Product Inputs'!C4</f>
        <v>1.5694267892753705E-6</v>
      </c>
    </row>
    <row r="5" spans="2:12" ht="16.5">
      <c r="B5" s="94" t="s">
        <v>51</v>
      </c>
      <c r="C5" s="95">
        <f>'TM-21 Inputs'!I20</f>
        <v>100</v>
      </c>
      <c r="E5" s="94" t="s">
        <v>51</v>
      </c>
      <c r="F5" s="95">
        <f>'TM-21 Inputs'!I20</f>
        <v>100</v>
      </c>
      <c r="H5" s="94" t="s">
        <v>51</v>
      </c>
      <c r="I5" s="95">
        <f>'TM-21 Inputs'!I20</f>
        <v>100</v>
      </c>
      <c r="K5" s="107" t="s">
        <v>29</v>
      </c>
      <c r="L5" s="108">
        <f>'Product Inputs'!C5</f>
        <v>1.0005851272273827</v>
      </c>
    </row>
    <row r="6" spans="2:12" ht="16.5">
      <c r="B6" s="94" t="s">
        <v>52</v>
      </c>
      <c r="C6" s="95">
        <f>'TM-21 Inputs'!I19</f>
        <v>9000</v>
      </c>
      <c r="E6" s="94" t="s">
        <v>52</v>
      </c>
      <c r="F6" s="95">
        <f>'TM-21 Inputs'!I19</f>
        <v>9000</v>
      </c>
      <c r="H6" s="94" t="s">
        <v>52</v>
      </c>
      <c r="I6" s="95" t="str">
        <f>IF(I8="","",'TM-21 Inputs'!I19)</f>
        <v/>
      </c>
      <c r="K6" s="102" t="s">
        <v>53</v>
      </c>
      <c r="L6" s="103" t="str">
        <f>IFERROR('Product Inputs'!C6-273.15,"")</f>
        <v/>
      </c>
    </row>
    <row r="7" spans="2:12" ht="30">
      <c r="B7" s="94" t="s">
        <v>54</v>
      </c>
      <c r="C7" s="96">
        <f>C6-MIN('Calculations - Case Temp 1'!E6:E25)</f>
        <v>5000</v>
      </c>
      <c r="E7" s="94" t="s">
        <v>54</v>
      </c>
      <c r="F7" s="96">
        <f>C6-MIN('Calculations - Case Temp 2'!E6:E25)</f>
        <v>5000</v>
      </c>
      <c r="H7" s="94" t="s">
        <v>54</v>
      </c>
      <c r="I7" s="96" t="str">
        <f>IF(I8="","",C6-MIN('Calculations - Case Temp 3'!E6:E25))</f>
        <v/>
      </c>
      <c r="K7" s="104" t="s">
        <v>55</v>
      </c>
      <c r="L7" s="105" t="str">
        <f>'Product Inputs'!C6</f>
        <v>N/A</v>
      </c>
    </row>
    <row r="8" spans="2:12" ht="18">
      <c r="B8" s="94" t="s">
        <v>56</v>
      </c>
      <c r="C8" s="95">
        <f>IF('TM-21 Inputs'!I21="","",'TM-21 Inputs'!I21)</f>
        <v>85</v>
      </c>
      <c r="E8" s="94" t="s">
        <v>56</v>
      </c>
      <c r="F8" s="95">
        <f>IF('TM-21 Inputs'!I22="","",'TM-21 Inputs'!I22)</f>
        <v>105</v>
      </c>
      <c r="H8" s="94" t="s">
        <v>56</v>
      </c>
      <c r="I8" s="95" t="str">
        <f>IF('TM-21 Inputs'!I23="","",'TM-21 Inputs'!I23)</f>
        <v/>
      </c>
      <c r="K8" s="97" t="s">
        <v>57</v>
      </c>
      <c r="L8" s="106" t="str">
        <f>'Product Inputs'!C7</f>
        <v>N/A</v>
      </c>
    </row>
    <row r="9" spans="2:12" ht="16.5">
      <c r="B9" s="97" t="s">
        <v>58</v>
      </c>
      <c r="C9" s="98">
        <f>'Calculations - Case Temp 1'!F31</f>
        <v>1.5694267892753705E-6</v>
      </c>
      <c r="E9" s="97" t="s">
        <v>58</v>
      </c>
      <c r="F9" s="98">
        <f>'Calculations - Case Temp 2'!F31</f>
        <v>2.2160366429874555E-6</v>
      </c>
      <c r="H9" s="97" t="s">
        <v>58</v>
      </c>
      <c r="I9" s="98" t="str">
        <f>IF(I8="","",'Calculations - Case Temp 3'!F31)</f>
        <v/>
      </c>
      <c r="K9" s="107" t="s">
        <v>37</v>
      </c>
      <c r="L9" s="108" t="str">
        <f>'Product Inputs'!C8</f>
        <v>N/A</v>
      </c>
    </row>
    <row r="10" spans="2:12" ht="16.5">
      <c r="B10" s="94" t="s">
        <v>59</v>
      </c>
      <c r="C10" s="98">
        <f>'Calculations - Case Temp 1'!F32</f>
        <v>1.0005851272273827</v>
      </c>
      <c r="E10" s="94" t="s">
        <v>59</v>
      </c>
      <c r="F10" s="98">
        <f>'Calculations - Case Temp 2'!F32</f>
        <v>1.0007885162035635</v>
      </c>
      <c r="H10" s="94" t="s">
        <v>59</v>
      </c>
      <c r="I10" s="98" t="str">
        <f>IF(I8="","",'Calculations - Case Temp 3'!F32)</f>
        <v/>
      </c>
      <c r="K10" s="102" t="s">
        <v>38</v>
      </c>
      <c r="L10" s="109" t="str">
        <f>'Product Inputs'!C9</f>
        <v/>
      </c>
    </row>
    <row r="11" spans="2:12">
      <c r="B11" s="94" t="str">
        <f>CONCATENATE("Calculated L",'TM-21 Inputs'!I35," (hrs):")</f>
        <v>Calculated L90 (hrs):</v>
      </c>
      <c r="C11" s="99">
        <f>'Calculations - Case Temp 1'!F33</f>
        <v>68000</v>
      </c>
      <c r="E11" s="94" t="str">
        <f>CONCATENATE("Calculated L",'TM-21 Inputs'!I35," (hrs):")</f>
        <v>Calculated L90 (hrs):</v>
      </c>
      <c r="F11" s="99">
        <f>'Calculations - Case Temp 2'!F33</f>
        <v>48000</v>
      </c>
      <c r="H11" s="94" t="str">
        <f>CONCATENATE("Calculated L",'TM-21 Inputs'!I35," (hrs):")</f>
        <v>Calculated L90 (hrs):</v>
      </c>
      <c r="I11" s="99" t="str">
        <f>IF(I8="","",'Calculations - Case Temp 3'!F33)</f>
        <v/>
      </c>
      <c r="K11" s="104" t="s">
        <v>41</v>
      </c>
      <c r="L11" s="108" t="str">
        <f>'Product Inputs'!C13</f>
        <v/>
      </c>
    </row>
    <row r="12" spans="2:12" ht="16.5">
      <c r="B12" s="100" t="str">
        <f>CONCATENATE("Reported L",'TM-21 Inputs'!I35," (hrs):")</f>
        <v>Reported L90 (hrs):</v>
      </c>
      <c r="C12" s="101" t="str">
        <f>'Calculations - Case Temp 1'!F34</f>
        <v>&gt;54000</v>
      </c>
      <c r="E12" s="100" t="str">
        <f>CONCATENATE("Reported L",'TM-21 Inputs'!I35," (hrs):")</f>
        <v>Reported L90 (hrs):</v>
      </c>
      <c r="F12" s="101">
        <f>'Calculations - Case Temp 2'!F34</f>
        <v>48000</v>
      </c>
      <c r="H12" s="100" t="str">
        <f>CONCATENATE("Reported L",'TM-21 Inputs'!I35," (hrs):")</f>
        <v>Reported L90 (hrs):</v>
      </c>
      <c r="I12" s="101" t="str">
        <f>IF(I8="","",'Calculations - Case Temp 3'!F34)</f>
        <v/>
      </c>
      <c r="K12" s="107" t="s">
        <v>42</v>
      </c>
      <c r="L12" s="110">
        <f>'Product Inputs'!C14</f>
        <v>1.0005851272273827</v>
      </c>
    </row>
    <row r="13" spans="2:12" ht="16.5">
      <c r="K13" s="102" t="s">
        <v>60</v>
      </c>
      <c r="L13" s="93">
        <f>IF('Product Inputs'!C15="","",'Product Inputs'!C15-273.15)</f>
        <v>65</v>
      </c>
    </row>
    <row r="14" spans="2:12" ht="16.5">
      <c r="K14" s="104" t="s">
        <v>61</v>
      </c>
      <c r="L14" s="95">
        <f>'Product Inputs'!C15</f>
        <v>338.15</v>
      </c>
    </row>
    <row r="15" spans="2:12" ht="18">
      <c r="K15" s="111" t="s">
        <v>45</v>
      </c>
      <c r="L15" s="112">
        <f>'Product Inputs'!C16</f>
        <v>1.5694267892753705E-6</v>
      </c>
    </row>
  </sheetData>
  <sheetProtection password="C066" sheet="1" objects="1" scenarios="1"/>
  <phoneticPr fontId="42" type="noConversion"/>
  <pageMargins left="0.69930555555555596" right="0.69930555555555596"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2"/>
  <sheetViews>
    <sheetView showGridLines="0" showRowColHeaders="0" topLeftCell="A4" zoomScale="90" zoomScaleNormal="90" workbookViewId="0">
      <selection activeCell="F22" sqref="F22"/>
    </sheetView>
  </sheetViews>
  <sheetFormatPr defaultColWidth="9.140625" defaultRowHeight="1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5703125" style="1" customWidth="1"/>
    <col min="13" max="13" width="33.28515625" style="1" customWidth="1"/>
    <col min="14" max="14" width="2.42578125" style="1" customWidth="1"/>
    <col min="15" max="15" width="1.85546875" style="1" customWidth="1"/>
    <col min="16" max="16384" width="9.140625" style="1"/>
  </cols>
  <sheetData>
    <row r="1" spans="1:15" ht="11.25" customHeight="1">
      <c r="A1" s="50"/>
      <c r="B1" s="50"/>
      <c r="C1" s="51"/>
      <c r="D1" s="51"/>
      <c r="E1" s="51"/>
      <c r="F1" s="51"/>
      <c r="G1" s="51"/>
      <c r="H1" s="51"/>
      <c r="I1" s="51"/>
      <c r="J1" s="51"/>
      <c r="K1" s="51"/>
      <c r="L1" s="51"/>
      <c r="M1" s="51"/>
      <c r="N1" s="51"/>
      <c r="O1" s="51"/>
    </row>
    <row r="2" spans="1:15" ht="15" customHeight="1">
      <c r="A2" s="50"/>
      <c r="B2" s="247" t="s">
        <v>62</v>
      </c>
      <c r="C2" s="247"/>
      <c r="D2" s="247"/>
      <c r="E2" s="247"/>
      <c r="F2" s="247"/>
      <c r="G2" s="247"/>
      <c r="H2" s="247"/>
      <c r="I2" s="247"/>
      <c r="J2" s="247"/>
      <c r="K2" s="247"/>
      <c r="L2" s="247"/>
      <c r="M2" s="247"/>
      <c r="N2" s="247"/>
      <c r="O2" s="51"/>
    </row>
    <row r="3" spans="1:15" ht="15" customHeight="1">
      <c r="A3" s="50"/>
      <c r="B3" s="247"/>
      <c r="C3" s="247"/>
      <c r="D3" s="247"/>
      <c r="E3" s="247"/>
      <c r="F3" s="247"/>
      <c r="G3" s="247"/>
      <c r="H3" s="247"/>
      <c r="I3" s="247"/>
      <c r="J3" s="247"/>
      <c r="K3" s="247"/>
      <c r="L3" s="247"/>
      <c r="M3" s="247"/>
      <c r="N3" s="247"/>
      <c r="O3" s="51"/>
    </row>
    <row r="4" spans="1:15" ht="15" customHeight="1">
      <c r="A4" s="50"/>
      <c r="B4" s="247"/>
      <c r="C4" s="247"/>
      <c r="D4" s="247"/>
      <c r="E4" s="247"/>
      <c r="F4" s="247"/>
      <c r="G4" s="247"/>
      <c r="H4" s="247"/>
      <c r="I4" s="247"/>
      <c r="J4" s="247"/>
      <c r="K4" s="247"/>
      <c r="L4" s="247"/>
      <c r="M4" s="247"/>
      <c r="N4" s="247"/>
      <c r="O4" s="51"/>
    </row>
    <row r="5" spans="1:15" ht="12" customHeight="1">
      <c r="A5" s="50"/>
      <c r="B5" s="247"/>
      <c r="C5" s="247"/>
      <c r="D5" s="247"/>
      <c r="E5" s="247"/>
      <c r="F5" s="247"/>
      <c r="G5" s="247"/>
      <c r="H5" s="247"/>
      <c r="I5" s="247"/>
      <c r="J5" s="247"/>
      <c r="K5" s="247"/>
      <c r="L5" s="247"/>
      <c r="M5" s="247"/>
      <c r="N5" s="247"/>
      <c r="O5" s="51"/>
    </row>
    <row r="6" spans="1:15" ht="8.25" customHeight="1">
      <c r="A6" s="50"/>
      <c r="B6" s="247"/>
      <c r="C6" s="247"/>
      <c r="D6" s="247"/>
      <c r="E6" s="247"/>
      <c r="F6" s="247"/>
      <c r="G6" s="247"/>
      <c r="H6" s="247"/>
      <c r="I6" s="247"/>
      <c r="J6" s="247"/>
      <c r="K6" s="247"/>
      <c r="L6" s="247"/>
      <c r="M6" s="247"/>
      <c r="N6" s="247"/>
      <c r="O6" s="51"/>
    </row>
    <row r="7" spans="1:15" ht="10.5" customHeight="1">
      <c r="A7" s="50"/>
      <c r="B7" s="51"/>
      <c r="C7" s="51"/>
      <c r="D7" s="51"/>
      <c r="E7" s="51"/>
      <c r="F7" s="51"/>
      <c r="G7" s="51"/>
      <c r="H7" s="51"/>
      <c r="I7" s="51"/>
      <c r="J7" s="51"/>
      <c r="K7" s="51"/>
      <c r="L7" s="51"/>
      <c r="M7" s="51"/>
      <c r="N7" s="51"/>
      <c r="O7" s="50"/>
    </row>
    <row r="8" spans="1:15">
      <c r="A8" s="50"/>
      <c r="B8" s="52"/>
      <c r="C8" s="52"/>
      <c r="D8" s="52"/>
      <c r="E8" s="52"/>
      <c r="F8" s="52"/>
      <c r="G8" s="52"/>
      <c r="H8" s="52"/>
      <c r="I8" s="52"/>
      <c r="J8" s="52"/>
      <c r="K8" s="52"/>
      <c r="L8" s="52"/>
      <c r="M8" s="52"/>
      <c r="N8" s="52"/>
      <c r="O8" s="51"/>
    </row>
    <row r="9" spans="1:15">
      <c r="A9" s="50"/>
      <c r="B9" s="52"/>
      <c r="C9" s="282" t="s">
        <v>28</v>
      </c>
      <c r="D9" s="283"/>
      <c r="E9" s="283"/>
      <c r="F9" s="283"/>
      <c r="G9" s="283"/>
      <c r="H9" s="283"/>
      <c r="I9" s="283"/>
      <c r="J9" s="284"/>
      <c r="K9" s="52"/>
      <c r="L9" s="285" t="s">
        <v>63</v>
      </c>
      <c r="M9" s="286"/>
      <c r="N9" s="52"/>
      <c r="O9" s="51"/>
    </row>
    <row r="10" spans="1:15" ht="15" customHeight="1">
      <c r="A10" s="50"/>
      <c r="B10" s="52"/>
      <c r="C10" s="248" t="s">
        <v>64</v>
      </c>
      <c r="D10" s="249"/>
      <c r="E10" s="250"/>
      <c r="F10" s="257" t="str">
        <f>IF('TM-21 Inputs'!H9="","",'TM-21 Inputs'!H9)</f>
        <v/>
      </c>
      <c r="G10" s="258"/>
      <c r="H10" s="258"/>
      <c r="I10" s="258"/>
      <c r="J10" s="259"/>
      <c r="K10" s="52"/>
      <c r="L10" s="287" t="s">
        <v>65</v>
      </c>
      <c r="M10" s="288"/>
      <c r="N10" s="52"/>
      <c r="O10" s="51"/>
    </row>
    <row r="11" spans="1:15" ht="18.75">
      <c r="A11" s="50"/>
      <c r="B11" s="52"/>
      <c r="C11" s="251"/>
      <c r="D11" s="252"/>
      <c r="E11" s="253"/>
      <c r="F11" s="260"/>
      <c r="G11" s="261"/>
      <c r="H11" s="261"/>
      <c r="I11" s="261"/>
      <c r="J11" s="262"/>
      <c r="K11" s="52"/>
      <c r="L11" s="74" t="s">
        <v>66</v>
      </c>
      <c r="M11" s="75">
        <f>IF('TM-21 Projection'!L2="","-",'TM-21 Projection'!L2)</f>
        <v>85</v>
      </c>
      <c r="N11" s="52"/>
      <c r="O11" s="51"/>
    </row>
    <row r="12" spans="1:15" ht="28.5" customHeight="1">
      <c r="A12" s="50"/>
      <c r="B12" s="52"/>
      <c r="C12" s="254"/>
      <c r="D12" s="255"/>
      <c r="E12" s="256"/>
      <c r="F12" s="263"/>
      <c r="G12" s="264"/>
      <c r="H12" s="264"/>
      <c r="I12" s="264"/>
      <c r="J12" s="265"/>
      <c r="K12" s="52"/>
      <c r="L12" s="76" t="s">
        <v>67</v>
      </c>
      <c r="M12" s="77">
        <f>IF(OR('TM-21 Projection'!L3="",'TM-21 Projection'!L3="In situ case temp too high"),"-",'TM-21 Projection'!L3)</f>
        <v>358.15</v>
      </c>
      <c r="N12" s="52"/>
      <c r="O12" s="51"/>
    </row>
    <row r="13" spans="1:15" ht="18.75">
      <c r="A13" s="50"/>
      <c r="B13" s="52"/>
      <c r="C13" s="289" t="str">
        <f>IF('TM-21 Inputs'!I21="","",CONCATENATE("Test Condition 1 - ",'TM-21 Inputs'!I21,"⁰C Case Temp"))</f>
        <v>Test Condition 1 - 85⁰C Case Temp</v>
      </c>
      <c r="D13" s="290"/>
      <c r="E13" s="53"/>
      <c r="F13" s="289" t="str">
        <f>IF('TM-21 Inputs'!I22="","",CONCATENATE("Test Condition 2 - ",'TM-21 Inputs'!I22,"⁰C Case Temp"))</f>
        <v>Test Condition 2 - 105⁰C Case Temp</v>
      </c>
      <c r="G13" s="290"/>
      <c r="H13" s="53"/>
      <c r="I13" s="289" t="str">
        <f>IF('TM-21 Inputs'!I23="","",CONCATENATE("Test Condition 3 - ",'TM-21 Inputs'!I23,"⁰C Case Temp"))</f>
        <v/>
      </c>
      <c r="J13" s="290"/>
      <c r="K13" s="52"/>
      <c r="L13" s="78" t="s">
        <v>68</v>
      </c>
      <c r="M13" s="79">
        <f>IF('TM-21 Projection'!L4="","-",'TM-21 Projection'!L4)</f>
        <v>1.5694267892753705E-6</v>
      </c>
      <c r="N13" s="52"/>
      <c r="O13" s="51"/>
    </row>
    <row r="14" spans="1:15" s="49" customFormat="1" ht="18.75">
      <c r="A14" s="50"/>
      <c r="B14" s="54"/>
      <c r="C14" s="55" t="s">
        <v>69</v>
      </c>
      <c r="D14" s="56">
        <f>IF(OR('TM-21 Inputs'!$I$16="",C13=""),"-",'TM-21 Inputs'!$I$16)</f>
        <v>25</v>
      </c>
      <c r="E14" s="57"/>
      <c r="F14" s="55" t="str">
        <f>C14</f>
        <v>Sample size</v>
      </c>
      <c r="G14" s="56">
        <f>IF(OR('TM-21 Inputs'!$I$16="",F13=""),"-",'TM-21 Inputs'!$I$16)</f>
        <v>25</v>
      </c>
      <c r="H14" s="57"/>
      <c r="I14" s="55" t="str">
        <f>C14</f>
        <v>Sample size</v>
      </c>
      <c r="J14" s="56" t="str">
        <f>IF(OR('TM-21 Inputs'!$I$16="",I13=""),"-",'TM-21 Inputs'!$I$16)</f>
        <v>-</v>
      </c>
      <c r="K14" s="54"/>
      <c r="L14" s="80" t="s">
        <v>70</v>
      </c>
      <c r="M14" s="81">
        <f>IF('TM-21 Projection'!L5="","-",'TM-21 Projection'!L5)</f>
        <v>1.0005851272273827</v>
      </c>
      <c r="N14" s="54"/>
      <c r="O14" s="51"/>
    </row>
    <row r="15" spans="1:15" s="49" customFormat="1" ht="18.75">
      <c r="A15" s="50"/>
      <c r="B15" s="54"/>
      <c r="C15" s="55" t="s">
        <v>71</v>
      </c>
      <c r="D15" s="56">
        <f>IF(OR('TM-21 Inputs'!$I$17="",C13=""),"-",'TM-21 Inputs'!$I$17)</f>
        <v>0</v>
      </c>
      <c r="E15" s="57"/>
      <c r="F15" s="55" t="str">
        <f t="shared" ref="F15:F21" si="0">C15</f>
        <v>Number of failures</v>
      </c>
      <c r="G15" s="56">
        <f>IF(OR('TM-21 Inputs'!$I$17="",F13=""),"-",'TM-21 Inputs'!$I$17)</f>
        <v>0</v>
      </c>
      <c r="H15" s="57"/>
      <c r="I15" s="55" t="str">
        <f t="shared" ref="I15:I21" si="1">C15</f>
        <v>Number of failures</v>
      </c>
      <c r="J15" s="56" t="str">
        <f>IF(OR('TM-21 Inputs'!$I$17="",I13=""),"-",'TM-21 Inputs'!$I$17)</f>
        <v>-</v>
      </c>
      <c r="K15" s="54"/>
      <c r="L15" s="82" t="s">
        <v>72</v>
      </c>
      <c r="M15" s="83" t="str">
        <f>IF('TM-21 Projection'!L6="","-",'TM-21 Projection'!L6)</f>
        <v>-</v>
      </c>
      <c r="N15" s="54"/>
      <c r="O15" s="51"/>
    </row>
    <row r="16" spans="1:15" s="49" customFormat="1" ht="28.5">
      <c r="A16" s="50"/>
      <c r="B16" s="54"/>
      <c r="C16" s="55" t="s">
        <v>73</v>
      </c>
      <c r="D16" s="56">
        <f>IF(OR('TM-21 Inputs'!$I$20="",C13=""),"-",'TM-21 Inputs'!$I$20)</f>
        <v>100</v>
      </c>
      <c r="E16" s="57"/>
      <c r="F16" s="55" t="str">
        <f t="shared" si="0"/>
        <v>DUT drive current used in the test (mA)</v>
      </c>
      <c r="G16" s="56">
        <f>IF(OR('TM-21 Inputs'!$I$20="",F13=""),"-",'TM-21 Inputs'!$I$20)</f>
        <v>100</v>
      </c>
      <c r="H16" s="57"/>
      <c r="I16" s="55" t="str">
        <f t="shared" si="1"/>
        <v>DUT drive current used in the test (mA)</v>
      </c>
      <c r="J16" s="56" t="str">
        <f>IF(OR('TM-21 Inputs'!$I$20="",I13=""),"-",'TM-21 Inputs'!$I$20)</f>
        <v>-</v>
      </c>
      <c r="K16" s="54"/>
      <c r="L16" s="76" t="s">
        <v>74</v>
      </c>
      <c r="M16" s="77" t="str">
        <f>IF(OR('TM-21 Projection'!L7="",'TM-21 Projection'!L7="N/A"),"-",'TM-21 Projection'!L7)</f>
        <v>-</v>
      </c>
      <c r="N16" s="54"/>
      <c r="O16" s="51"/>
    </row>
    <row r="17" spans="1:15" s="49" customFormat="1" ht="18.75">
      <c r="A17" s="50"/>
      <c r="B17" s="54"/>
      <c r="C17" s="55" t="s">
        <v>75</v>
      </c>
      <c r="D17" s="58">
        <f>IF(OR('TM-21 Inputs'!I19="",C13=""),"-",'TM-21 Inputs'!I19)</f>
        <v>9000</v>
      </c>
      <c r="E17" s="57"/>
      <c r="F17" s="55" t="str">
        <f t="shared" si="0"/>
        <v>Test duration (hours)</v>
      </c>
      <c r="G17" s="59">
        <f>IF(OR('TM-21 Inputs'!I19="",F13=""),"-",'TM-21 Inputs'!I19)</f>
        <v>9000</v>
      </c>
      <c r="H17" s="57"/>
      <c r="I17" s="55" t="str">
        <f t="shared" si="1"/>
        <v>Test duration (hours)</v>
      </c>
      <c r="J17" s="59" t="str">
        <f>IF(OR('TM-21 Inputs'!I19="",I13=""),"-",'TM-21 Inputs'!I19)</f>
        <v>-</v>
      </c>
      <c r="K17" s="54"/>
      <c r="L17" s="78" t="s">
        <v>76</v>
      </c>
      <c r="M17" s="79" t="str">
        <f>IF(OR('TM-21 Projection'!L8="",'TM-21 Projection'!L8="N/A"),"-",'TM-21 Projection'!L8)</f>
        <v>-</v>
      </c>
      <c r="N17" s="54"/>
      <c r="O17" s="51"/>
    </row>
    <row r="18" spans="1:15" s="49" customFormat="1" ht="36" customHeight="1">
      <c r="A18" s="50"/>
      <c r="B18" s="60"/>
      <c r="C18" s="61" t="s">
        <v>77</v>
      </c>
      <c r="D18" s="62" t="str">
        <f>IF(OR('TM-21 Inputs'!I19="",C13=""),"-",IF(SUM('Calculations - Case Temp 1'!E6:E25)=0,"-",CONCATENATE(TEXT(MIN('Calculations - Case Temp 1'!E6:E25),"#,##0")," - ",TEXT(MAX('Calculations - Case Temp 1'!E6:E25),"#,##0"))))</f>
        <v>4000,0 - 9000,0</v>
      </c>
      <c r="E18" s="63"/>
      <c r="F18" s="61" t="str">
        <f t="shared" si="0"/>
        <v>Test duration used for projection (hour to hour)</v>
      </c>
      <c r="G18" s="64" t="str">
        <f>IF(OR('TM-21 Inputs'!I19="",F13=""),"-",IF(SUM('Calculations - Case Temp 1'!E6:E25)=0,"-",CONCATENATE(TEXT(MIN('Calculations - Case Temp 1'!E6:E25),"#,##0")," - ",TEXT(MAX('Calculations - Case Temp 1'!E6:E25),"#,##0"))))</f>
        <v>4000,0 - 9000,0</v>
      </c>
      <c r="H18" s="63"/>
      <c r="I18" s="61" t="str">
        <f t="shared" si="1"/>
        <v>Test duration used for projection (hour to hour)</v>
      </c>
      <c r="J18" s="64" t="str">
        <f>IF(OR('TM-21 Inputs'!I19="",I13=""),"-",IF(SUM('Calculations - Case Temp 1'!E6:E25)=0,"-",CONCATENATE(TEXT(MIN('Calculations - Case Temp 1'!E6:E25),"#,##0")," - ",TEXT(MAX('Calculations - Case Temp 1'!E6:E25),"#,##0"))))</f>
        <v>-</v>
      </c>
      <c r="K18" s="54"/>
      <c r="L18" s="84" t="s">
        <v>78</v>
      </c>
      <c r="M18" s="85" t="str">
        <f>IF(OR('TM-21 Projection'!L9="",'TM-21 Projection'!L9="N/A"),"-",'TM-21 Projection'!L9)</f>
        <v>-</v>
      </c>
      <c r="N18" s="54"/>
      <c r="O18" s="51"/>
    </row>
    <row r="19" spans="1:15" s="49" customFormat="1" ht="28.5">
      <c r="A19" s="50"/>
      <c r="B19" s="54"/>
      <c r="C19" s="55" t="s">
        <v>79</v>
      </c>
      <c r="D19" s="65">
        <f>IF('Product Inputs'!G6="","-",'Product Inputs'!G6)</f>
        <v>85</v>
      </c>
      <c r="E19" s="57"/>
      <c r="F19" s="55" t="str">
        <f t="shared" si="0"/>
        <v>Tested case temperature (⁰C)</v>
      </c>
      <c r="G19" s="65">
        <f>IF('Product Inputs'!J6="","-",'Product Inputs'!J6)</f>
        <v>105</v>
      </c>
      <c r="H19" s="57"/>
      <c r="I19" s="55" t="str">
        <f t="shared" si="1"/>
        <v>Tested case temperature (⁰C)</v>
      </c>
      <c r="J19" s="65" t="str">
        <f>IF('Product Inputs'!M6="","-",'Product Inputs'!M6)</f>
        <v>-</v>
      </c>
      <c r="K19" s="54"/>
      <c r="L19" s="82" t="s">
        <v>80</v>
      </c>
      <c r="M19" s="86" t="str">
        <f>IF(OR(M13&lt;0,M17&lt;0),"-",IF('TM-21 Projection'!L10="","-",'TM-21 Projection'!L10))</f>
        <v>-</v>
      </c>
      <c r="N19" s="54"/>
      <c r="O19" s="51"/>
    </row>
    <row r="20" spans="1:15" s="49" customFormat="1">
      <c r="A20" s="50"/>
      <c r="B20" s="54"/>
      <c r="C20" s="55" t="s">
        <v>81</v>
      </c>
      <c r="D20" s="66">
        <f>IF('Product Inputs'!G8="","-",'Product Inputs'!G8)</f>
        <v>1.5694267892753705E-6</v>
      </c>
      <c r="E20" s="57"/>
      <c r="F20" s="55" t="str">
        <f t="shared" si="0"/>
        <v>α</v>
      </c>
      <c r="G20" s="66">
        <f>IF('Product Inputs'!J8="","-",'Product Inputs'!J8)</f>
        <v>2.2160366429874555E-6</v>
      </c>
      <c r="H20" s="57"/>
      <c r="I20" s="55" t="str">
        <f t="shared" si="1"/>
        <v>α</v>
      </c>
      <c r="J20" s="66" t="str">
        <f>IF('Product Inputs'!M8="","-",'Product Inputs'!M8)</f>
        <v>-</v>
      </c>
      <c r="K20" s="54"/>
      <c r="L20" s="76" t="s">
        <v>41</v>
      </c>
      <c r="M20" s="79" t="str">
        <f>IF(OR(M13&lt;0,M17&lt;0),"-",IF('TM-21 Projection'!L11="","-",'TM-21 Projection'!L11))</f>
        <v>-</v>
      </c>
      <c r="N20" s="54"/>
      <c r="O20" s="51"/>
    </row>
    <row r="21" spans="1:15" s="49" customFormat="1" ht="18.75">
      <c r="A21" s="50"/>
      <c r="B21" s="54"/>
      <c r="C21" s="67" t="s">
        <v>82</v>
      </c>
      <c r="D21" s="68">
        <f>IF('Product Inputs'!G9="","-",'Product Inputs'!G9)</f>
        <v>1.0005851272273827</v>
      </c>
      <c r="E21" s="57"/>
      <c r="F21" s="67" t="str">
        <f t="shared" si="0"/>
        <v>B</v>
      </c>
      <c r="G21" s="68">
        <f>IF('Product Inputs'!J9="","-",'Product Inputs'!J9)</f>
        <v>1.0007885162035635</v>
      </c>
      <c r="H21" s="57"/>
      <c r="I21" s="67" t="str">
        <f t="shared" si="1"/>
        <v>B</v>
      </c>
      <c r="J21" s="68" t="str">
        <f>IF('Product Inputs'!M9="","-",'Product Inputs'!M9)</f>
        <v>-</v>
      </c>
      <c r="K21" s="54"/>
      <c r="L21" s="84" t="s">
        <v>83</v>
      </c>
      <c r="M21" s="85">
        <f>IF('TM-21 Projection'!L12="","-",'TM-21 Projection'!L12)</f>
        <v>1.0005851272273827</v>
      </c>
      <c r="N21" s="54"/>
      <c r="O21" s="51"/>
    </row>
    <row r="22" spans="1:15" s="49" customFormat="1" ht="28.5">
      <c r="A22" s="50"/>
      <c r="B22" s="54"/>
      <c r="C22" s="69" t="str">
        <f>IF('TM-21 Inputs'!I35="",CONCATENATE("Reported LM",IF('TM-21 Inputs'!I19="","(Dk) (hours)",CONCATENATE("(",ROUND('TM-21 Inputs'!I19/1000,0),"k) (hours)"))),CONCATENATE("Reported L",'TM-21 Inputs'!I35,IF('TM-21 Inputs'!I19="","(Dk) (hours)",CONCATENATE("(",ROUND('TM-21 Inputs'!I19/1000,0),"k) (hours)"))))</f>
        <v>Reported L90(9k) (hours)</v>
      </c>
      <c r="D22" s="70" t="str">
        <f>IF('Product Inputs'!G11="","-",'Product Inputs'!G11)</f>
        <v>&gt;54000</v>
      </c>
      <c r="E22" s="57"/>
      <c r="F22" s="69" t="str">
        <f>IF('TM-21 Inputs'!I35="",CONCATENATE("Reported LM",IF('TM-21 Inputs'!I19="","(Dk) (hours)",CONCATENATE("(",ROUND('TM-21 Inputs'!I19/1000,0),"k) (hours)"))),CONCATENATE("Reported L",'TM-21 Inputs'!I35,IF('TM-21 Inputs'!I19="","(Dk) (hours)",CONCATENATE("(",ROUND('TM-21 Inputs'!I19/1000,0),"k) (hours)"))))</f>
        <v>Reported L90(9k) (hours)</v>
      </c>
      <c r="G22" s="70">
        <f>IF('Product Inputs'!J11="","-",'Product Inputs'!J11)</f>
        <v>48000</v>
      </c>
      <c r="H22" s="57"/>
      <c r="I22" s="69" t="str">
        <f>IF('TM-21 Inputs'!I35="",CONCATENATE("Reported LM",IF('TM-21 Inputs'!I19="","(Dk) (hours)",CONCATENATE("(",ROUND('TM-21 Inputs'!I19/1000,0),"k) (hours)"))),CONCATENATE("Reported L",'TM-21 Inputs'!I35,IF('TM-21 Inputs'!I19="","(Dk) (hours)",CONCATENATE("(",ROUND('TM-21 Inputs'!I19/1000,0),"k) (hours)"))))</f>
        <v>Reported L90(9k) (hours)</v>
      </c>
      <c r="J22" s="70" t="str">
        <f>IF('Product Inputs'!M11="","-",'Product Inputs'!M11)</f>
        <v>-</v>
      </c>
      <c r="K22" s="54"/>
      <c r="L22" s="74" t="s">
        <v>84</v>
      </c>
      <c r="M22" s="75">
        <f>IF('TM-21 Projection'!L13="","-",'TM-21 Projection'!L13)</f>
        <v>65</v>
      </c>
      <c r="N22" s="54"/>
      <c r="O22" s="51"/>
    </row>
    <row r="23" spans="1:15" s="49" customFormat="1" ht="18.75">
      <c r="A23" s="50"/>
      <c r="B23" s="54"/>
      <c r="K23" s="54"/>
      <c r="L23" s="76" t="s">
        <v>85</v>
      </c>
      <c r="M23" s="87">
        <f>IF('TM-21 Projection'!L14="","-",'TM-21 Projection'!L14)</f>
        <v>338.15</v>
      </c>
      <c r="N23" s="54"/>
      <c r="O23" s="51"/>
    </row>
    <row r="24" spans="1:15" s="49" customFormat="1" ht="18.75">
      <c r="A24" s="50"/>
      <c r="B24" s="54"/>
      <c r="C24" s="71"/>
      <c r="D24" s="71"/>
      <c r="E24" s="57"/>
      <c r="F24" s="71"/>
      <c r="G24" s="72"/>
      <c r="H24" s="57"/>
      <c r="I24" s="71"/>
      <c r="J24" s="72"/>
      <c r="K24" s="54"/>
      <c r="L24" s="88" t="s">
        <v>86</v>
      </c>
      <c r="M24" s="89">
        <f>IF(OR(M13&lt;0,M17&lt;0),"-",IF('TM-21 Projection'!L15="","-",'TM-21 Projection'!L15))</f>
        <v>1.5694267892753705E-6</v>
      </c>
      <c r="N24" s="54"/>
      <c r="O24" s="51"/>
    </row>
    <row r="25" spans="1:15" s="49" customFormat="1" ht="28.5" customHeight="1">
      <c r="A25" s="50"/>
      <c r="B25" s="54"/>
      <c r="C25" s="266" t="str">
        <f>IF(OR(M13&lt;0,M17&lt;0),"One or more of the tests resulted in negative L70 values. Please refer to sections 5.2.5 and 6.4 of IES TM-21-11 for instructions on how to estimate the reported lumen maintenance life (L70).","")</f>
        <v/>
      </c>
      <c r="D25" s="266"/>
      <c r="E25" s="266"/>
      <c r="F25" s="266"/>
      <c r="G25" s="266"/>
      <c r="H25" s="266"/>
      <c r="I25" s="266"/>
      <c r="J25" s="266"/>
      <c r="K25" s="54"/>
      <c r="L25" s="90" t="str">
        <f>IF('TM-21 Inputs'!I34="",IF('TM-21 Inputs'!I35="",CONCATENATE("Reported LM",IF('TM-21 Inputs'!I19="","(Dk) (hours)",CONCATENATE("(",ROUND('TM-21 Inputs'!I19/1000,0),"k) (hours)"))),CONCATENATE("Reported L",'TM-21 Inputs'!I35,IF('TM-21 Inputs'!I19="","(Dk) (hours)",CONCATENATE("(",ROUND('TM-21 Inputs'!I19/1000,0),"k) (hours)")))),IF('TM-21 Inputs'!I35="",CONCATENATE("Reported LM",IF('TM-21 Inputs'!I19="",CONCATENATE("(Dk) at ",'TM-21 Inputs'!I34,"⁰C (hours)"),CONCATENATE("(",ROUND('TM-21 Inputs'!I19/1000,0),"k) at ",'TM-21 Inputs'!I34,"⁰C (hours)"))),CONCATENATE("Reported L",'TM-21 Inputs'!I35,IF('TM-21 Inputs'!I19="",CONCATENATE("(Dk) at ",'TM-21 Inputs'!I34,"⁰C (hours)"),CONCATENATE("(",ROUND('TM-21 Inputs'!I19/1000,0),"k) at ",'TM-21 Inputs'!I34,"⁰C (hours)")))))</f>
        <v>Reported L90(9k) at 65⁰C (hours)</v>
      </c>
      <c r="M25" s="91" t="str">
        <f>IF('TM-21 Inputs'!I42="","-",'TM-21 Inputs'!I42)</f>
        <v>&gt;54000</v>
      </c>
      <c r="N25" s="54"/>
      <c r="O25" s="51"/>
    </row>
    <row r="26" spans="1:15" ht="30.75" customHeight="1">
      <c r="A26" s="50"/>
      <c r="B26" s="52"/>
      <c r="C26" s="52"/>
      <c r="D26" s="52"/>
      <c r="E26" s="52"/>
      <c r="F26" s="52"/>
      <c r="G26" s="52"/>
      <c r="H26" s="52"/>
      <c r="I26" s="52"/>
      <c r="J26" s="52"/>
      <c r="K26" s="52"/>
      <c r="N26" s="52"/>
      <c r="O26" s="51"/>
    </row>
    <row r="27" spans="1:15" ht="9" customHeight="1">
      <c r="A27" s="50"/>
      <c r="B27" s="52"/>
      <c r="C27" s="52"/>
      <c r="D27" s="52"/>
      <c r="E27" s="52"/>
      <c r="F27" s="52"/>
      <c r="G27" s="52"/>
      <c r="H27" s="52"/>
      <c r="I27" s="52"/>
      <c r="J27" s="52"/>
      <c r="K27" s="52"/>
      <c r="L27" s="52"/>
      <c r="M27" s="52"/>
      <c r="N27" s="52"/>
      <c r="O27" s="51"/>
    </row>
    <row r="28" spans="1:15" ht="11.25" customHeight="1">
      <c r="A28" s="50"/>
      <c r="B28" s="50"/>
      <c r="C28" s="50"/>
      <c r="D28" s="50"/>
      <c r="E28" s="50"/>
      <c r="F28" s="50"/>
      <c r="G28" s="50"/>
      <c r="H28" s="50"/>
      <c r="I28" s="50"/>
      <c r="J28" s="50"/>
      <c r="K28" s="50"/>
      <c r="L28" s="50"/>
      <c r="M28" s="50"/>
      <c r="N28" s="50"/>
      <c r="O28" s="50"/>
    </row>
    <row r="29" spans="1:15">
      <c r="C29" s="73"/>
    </row>
    <row r="30" spans="1:15" ht="30.75" customHeight="1">
      <c r="D30"/>
      <c r="F30" s="267" t="s">
        <v>87</v>
      </c>
      <c r="G30" s="268"/>
      <c r="H30" s="269"/>
      <c r="I30" s="270"/>
      <c r="J30" s="273" t="s">
        <v>88</v>
      </c>
      <c r="K30" s="274"/>
      <c r="L30" s="274"/>
      <c r="M30" s="275"/>
    </row>
    <row r="31" spans="1:15" ht="31.5" customHeight="1">
      <c r="F31" s="267" t="s">
        <v>89</v>
      </c>
      <c r="G31" s="268"/>
      <c r="H31" s="269"/>
      <c r="I31" s="270"/>
      <c r="J31" s="276"/>
      <c r="K31" s="277"/>
      <c r="L31" s="277"/>
      <c r="M31" s="278"/>
    </row>
    <row r="32" spans="1:15">
      <c r="F32" s="271" t="s">
        <v>90</v>
      </c>
      <c r="G32" s="272"/>
      <c r="H32" s="269"/>
      <c r="I32" s="270"/>
      <c r="J32" s="279"/>
      <c r="K32" s="280"/>
      <c r="L32" s="280"/>
      <c r="M32" s="281"/>
    </row>
  </sheetData>
  <sheetProtection sheet="1" objects="1" scenarios="1"/>
  <mergeCells count="14">
    <mergeCell ref="F31:I31"/>
    <mergeCell ref="F32:I32"/>
    <mergeCell ref="J30:M32"/>
    <mergeCell ref="C9:J9"/>
    <mergeCell ref="L9:M9"/>
    <mergeCell ref="L10:M10"/>
    <mergeCell ref="C13:D13"/>
    <mergeCell ref="F13:G13"/>
    <mergeCell ref="I13:J13"/>
    <mergeCell ref="B2:N6"/>
    <mergeCell ref="C10:E12"/>
    <mergeCell ref="F10:J12"/>
    <mergeCell ref="C25:J25"/>
    <mergeCell ref="F30:I30"/>
  </mergeCells>
  <phoneticPr fontId="42" type="noConversion"/>
  <pageMargins left="0.69930555555555596" right="0.69930555555555596" top="0.75" bottom="0.75" header="0.3" footer="0.3"/>
  <pageSetup scale="6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
  <sheetViews>
    <sheetView workbookViewId="0">
      <selection activeCell="M34" sqref="M34"/>
    </sheetView>
  </sheetViews>
  <sheetFormatPr defaultColWidth="9" defaultRowHeight="15"/>
  <sheetData/>
  <sheetProtection password="C696" sheet="1" objects="1" scenarios="1"/>
  <phoneticPr fontId="4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C4:M34"/>
  <sheetViews>
    <sheetView topLeftCell="A7" workbookViewId="0">
      <selection activeCell="F34" sqref="F34"/>
    </sheetView>
  </sheetViews>
  <sheetFormatPr defaultColWidth="9.140625" defaultRowHeight="15"/>
  <cols>
    <col min="1" max="1" width="17" style="1" customWidth="1"/>
    <col min="2" max="2" width="9.140625" style="1"/>
    <col min="3" max="3" width="8.7109375" style="1" customWidth="1"/>
    <col min="4" max="4" width="10.42578125" style="1" customWidth="1"/>
    <col min="5" max="5" width="12.85546875" style="1" customWidth="1"/>
    <col min="6" max="6" width="17.85546875" style="1" customWidth="1"/>
    <col min="7" max="7" width="27.5703125" style="1" customWidth="1"/>
    <col min="8" max="8" width="12.5703125" style="1" customWidth="1"/>
    <col min="9" max="9" width="11.140625" style="1" customWidth="1"/>
    <col min="10" max="11" width="9.140625" style="1"/>
    <col min="12" max="12" width="20.5703125" style="1" customWidth="1"/>
    <col min="13" max="16384" width="9.140625" style="1"/>
  </cols>
  <sheetData>
    <row r="4" spans="3:13" ht="15" customHeight="1">
      <c r="C4" s="291" t="str">
        <f>IF('TM-21 Inputs'!I21="","Insert Case Temperature 1",CONCATENATE("Test Data for ",'TM-21 Inputs'!I21,"⁰C Case Temperature"))</f>
        <v>Test Data for 85⁰C Case Temperature</v>
      </c>
      <c r="D4" s="292"/>
      <c r="E4" s="292"/>
      <c r="F4" s="292"/>
      <c r="G4" s="292"/>
      <c r="H4" s="292"/>
      <c r="I4" s="292"/>
      <c r="J4" s="293"/>
    </row>
    <row r="5" spans="3:13" ht="60" customHeight="1">
      <c r="C5" s="2" t="s">
        <v>91</v>
      </c>
      <c r="D5" s="3" t="s">
        <v>92</v>
      </c>
      <c r="E5" s="4" t="s">
        <v>93</v>
      </c>
      <c r="F5" s="5" t="s">
        <v>94</v>
      </c>
      <c r="G5" s="5" t="s">
        <v>95</v>
      </c>
      <c r="H5" s="5" t="s">
        <v>96</v>
      </c>
      <c r="I5" s="5" t="s">
        <v>97</v>
      </c>
      <c r="J5" s="37" t="s">
        <v>98</v>
      </c>
    </row>
    <row r="6" spans="3:13">
      <c r="C6" s="6" t="str">
        <f>"-"</f>
        <v>-</v>
      </c>
      <c r="D6" s="6" t="str">
        <f>"-"</f>
        <v>-</v>
      </c>
      <c r="E6" s="13"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8" t="str">
        <f>IF(E6="","",'TM-21 Inputs'!L10)</f>
        <v/>
      </c>
      <c r="G6" s="9" t="str">
        <f>IF(F6="","",LN(F6))</f>
        <v/>
      </c>
      <c r="H6" s="10" t="str">
        <f>IF(E6="","",(G6*E6))</f>
        <v/>
      </c>
      <c r="I6" s="38" t="str">
        <f>IF(E6="","",E6^2)</f>
        <v/>
      </c>
      <c r="J6" s="39" t="str">
        <f>IF(E6="","",E6*G6)</f>
        <v/>
      </c>
      <c r="M6" s="48"/>
    </row>
    <row r="7" spans="3:13">
      <c r="C7" s="11" t="str">
        <f>"-"</f>
        <v>-</v>
      </c>
      <c r="D7" s="12" t="str">
        <f t="shared" ref="D7:D25" si="0">IF(OR(E6="",E7=""),"",E7-E6)</f>
        <v/>
      </c>
      <c r="E7" s="13"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14" t="str">
        <f>IF(E7="","",'TM-21 Inputs'!L11)</f>
        <v/>
      </c>
      <c r="G7" s="15" t="str">
        <f t="shared" ref="G7:G25" si="1">IF(F7="","",LN(F7))</f>
        <v/>
      </c>
      <c r="H7" s="16" t="str">
        <f t="shared" ref="H7:H25" si="2">IF(E7="","",(G7*E7))</f>
        <v/>
      </c>
      <c r="I7" s="40" t="str">
        <f t="shared" ref="I7:I25" si="3">IF(E7="","",E7^2)</f>
        <v/>
      </c>
      <c r="J7" s="41" t="str">
        <f t="shared" ref="J7:J25" si="4">IF(E7="","",E7*G7)</f>
        <v/>
      </c>
    </row>
    <row r="8" spans="3:13">
      <c r="C8" s="12" t="str">
        <f>IF(OR(D7="",D8=""),"",ABS(D8-D7))</f>
        <v/>
      </c>
      <c r="D8" s="12" t="str">
        <f t="shared" si="0"/>
        <v/>
      </c>
      <c r="E8" s="13"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14" t="str">
        <f>IF(E8="","",'TM-21 Inputs'!L12)</f>
        <v/>
      </c>
      <c r="G8" s="15" t="str">
        <f t="shared" si="1"/>
        <v/>
      </c>
      <c r="H8" s="16" t="str">
        <f t="shared" si="2"/>
        <v/>
      </c>
      <c r="I8" s="40" t="str">
        <f t="shared" si="3"/>
        <v/>
      </c>
      <c r="J8" s="41" t="str">
        <f t="shared" si="4"/>
        <v/>
      </c>
    </row>
    <row r="9" spans="3:13">
      <c r="C9" s="12" t="str">
        <f t="shared" ref="C9:C25" si="5">IF(OR(D8="",D9=""),"",ABS(D9-D8))</f>
        <v/>
      </c>
      <c r="D9" s="12" t="str">
        <f t="shared" si="0"/>
        <v/>
      </c>
      <c r="E9" s="13" t="str">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
      </c>
      <c r="F9" s="14" t="str">
        <f>IF(E9="","",'TM-21 Inputs'!L13)</f>
        <v/>
      </c>
      <c r="G9" s="15" t="str">
        <f t="shared" si="1"/>
        <v/>
      </c>
      <c r="H9" s="16" t="str">
        <f t="shared" si="2"/>
        <v/>
      </c>
      <c r="I9" s="40" t="str">
        <f t="shared" si="3"/>
        <v/>
      </c>
      <c r="J9" s="41" t="str">
        <f t="shared" si="4"/>
        <v/>
      </c>
    </row>
    <row r="10" spans="3:13">
      <c r="C10" s="12" t="str">
        <f t="shared" si="5"/>
        <v/>
      </c>
      <c r="D10" s="12" t="str">
        <f t="shared" si="0"/>
        <v/>
      </c>
      <c r="E10" s="13">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4000</v>
      </c>
      <c r="F10" s="14">
        <f>IF(E10="","",'TM-21 Inputs'!L14)</f>
        <v>0.99419999999999997</v>
      </c>
      <c r="G10" s="15">
        <f t="shared" si="1"/>
        <v>-5.8168853215648511E-3</v>
      </c>
      <c r="H10" s="16">
        <f t="shared" si="2"/>
        <v>-23.267541286259405</v>
      </c>
      <c r="I10" s="40">
        <f t="shared" si="3"/>
        <v>16000000</v>
      </c>
      <c r="J10" s="41">
        <f t="shared" si="4"/>
        <v>-23.267541286259405</v>
      </c>
    </row>
    <row r="11" spans="3:13">
      <c r="C11" s="12" t="str">
        <f t="shared" si="5"/>
        <v/>
      </c>
      <c r="D11" s="12">
        <f t="shared" si="0"/>
        <v>1000</v>
      </c>
      <c r="E11" s="13">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5000</v>
      </c>
      <c r="F11" s="14">
        <f>IF(E11="","",'TM-21 Inputs'!L15)</f>
        <v>0.99280000000000002</v>
      </c>
      <c r="G11" s="15">
        <f t="shared" si="1"/>
        <v>-7.2260450917395825E-3</v>
      </c>
      <c r="H11" s="16">
        <f t="shared" si="2"/>
        <v>-36.130225458697915</v>
      </c>
      <c r="I11" s="40">
        <f t="shared" si="3"/>
        <v>25000000</v>
      </c>
      <c r="J11" s="41">
        <f t="shared" si="4"/>
        <v>-36.130225458697915</v>
      </c>
    </row>
    <row r="12" spans="3:13">
      <c r="C12" s="12">
        <f t="shared" si="5"/>
        <v>0</v>
      </c>
      <c r="D12" s="12">
        <f t="shared" si="0"/>
        <v>1000</v>
      </c>
      <c r="E12" s="13">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6000</v>
      </c>
      <c r="F12" s="14">
        <f>IF(E12="","",'TM-21 Inputs'!L16)</f>
        <v>0.99129999999999996</v>
      </c>
      <c r="G12" s="15">
        <f t="shared" si="1"/>
        <v>-8.7380659432852986E-3</v>
      </c>
      <c r="H12" s="16">
        <f t="shared" si="2"/>
        <v>-52.428395659711789</v>
      </c>
      <c r="I12" s="40">
        <f t="shared" si="3"/>
        <v>36000000</v>
      </c>
      <c r="J12" s="41">
        <f t="shared" si="4"/>
        <v>-52.428395659711789</v>
      </c>
    </row>
    <row r="13" spans="3:13">
      <c r="C13" s="12">
        <f t="shared" si="5"/>
        <v>0</v>
      </c>
      <c r="D13" s="12">
        <f t="shared" si="0"/>
        <v>1000</v>
      </c>
      <c r="E13" s="13">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7000</v>
      </c>
      <c r="F13" s="14">
        <f>IF(E13="","",'TM-21 Inputs'!L17)</f>
        <v>0.98970000000000002</v>
      </c>
      <c r="G13" s="15">
        <f t="shared" si="1"/>
        <v>-1.0353412079491597E-2</v>
      </c>
      <c r="H13" s="16">
        <f t="shared" si="2"/>
        <v>-72.473884556441178</v>
      </c>
      <c r="I13" s="40">
        <f t="shared" si="3"/>
        <v>49000000</v>
      </c>
      <c r="J13" s="41">
        <f t="shared" si="4"/>
        <v>-72.473884556441178</v>
      </c>
    </row>
    <row r="14" spans="3:13">
      <c r="C14" s="12">
        <f t="shared" si="5"/>
        <v>0</v>
      </c>
      <c r="D14" s="12">
        <f t="shared" si="0"/>
        <v>1000</v>
      </c>
      <c r="E14" s="13">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8000</v>
      </c>
      <c r="F14" s="14">
        <f>IF(E14="","",'TM-21 Inputs'!L18)</f>
        <v>0.98819999999999997</v>
      </c>
      <c r="G14" s="15">
        <f t="shared" si="1"/>
        <v>-1.1870172570487445E-2</v>
      </c>
      <c r="H14" s="16">
        <f t="shared" si="2"/>
        <v>-94.961380563899567</v>
      </c>
      <c r="I14" s="40">
        <f t="shared" si="3"/>
        <v>64000000</v>
      </c>
      <c r="J14" s="41">
        <f t="shared" si="4"/>
        <v>-94.961380563899567</v>
      </c>
    </row>
    <row r="15" spans="3:13">
      <c r="C15" s="12">
        <f t="shared" si="5"/>
        <v>0</v>
      </c>
      <c r="D15" s="12">
        <f t="shared" si="0"/>
        <v>1000</v>
      </c>
      <c r="E15" s="13">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9000</v>
      </c>
      <c r="F15" s="14">
        <f>IF(E15="","",'TM-21 Inputs'!L19)</f>
        <v>0.98640000000000005</v>
      </c>
      <c r="G15" s="15">
        <f t="shared" si="1"/>
        <v>-1.3693327132002454E-2</v>
      </c>
      <c r="H15" s="16">
        <f t="shared" si="2"/>
        <v>-123.23994418802209</v>
      </c>
      <c r="I15" s="40">
        <f t="shared" si="3"/>
        <v>81000000</v>
      </c>
      <c r="J15" s="41">
        <f t="shared" si="4"/>
        <v>-123.23994418802209</v>
      </c>
    </row>
    <row r="16" spans="3:13">
      <c r="C16" s="12" t="str">
        <f t="shared" si="5"/>
        <v/>
      </c>
      <c r="D16" s="12" t="str">
        <f t="shared" si="0"/>
        <v/>
      </c>
      <c r="E16" s="13" t="str">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
      </c>
      <c r="F16" s="14" t="str">
        <f>IF(E16="","",'TM-21 Inputs'!L20)</f>
        <v/>
      </c>
      <c r="G16" s="15" t="str">
        <f t="shared" si="1"/>
        <v/>
      </c>
      <c r="H16" s="16" t="str">
        <f t="shared" si="2"/>
        <v/>
      </c>
      <c r="I16" s="40" t="str">
        <f t="shared" si="3"/>
        <v/>
      </c>
      <c r="J16" s="41" t="str">
        <f t="shared" si="4"/>
        <v/>
      </c>
    </row>
    <row r="17" spans="3:10">
      <c r="C17" s="12" t="str">
        <f t="shared" si="5"/>
        <v/>
      </c>
      <c r="D17" s="12" t="str">
        <f t="shared" si="0"/>
        <v/>
      </c>
      <c r="E17" s="13" t="str">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
      </c>
      <c r="F17" s="14" t="str">
        <f>IF(E17="","",'TM-21 Inputs'!L21)</f>
        <v/>
      </c>
      <c r="G17" s="15" t="str">
        <f t="shared" si="1"/>
        <v/>
      </c>
      <c r="H17" s="16" t="str">
        <f t="shared" si="2"/>
        <v/>
      </c>
      <c r="I17" s="40" t="str">
        <f t="shared" si="3"/>
        <v/>
      </c>
      <c r="J17" s="41" t="str">
        <f t="shared" si="4"/>
        <v/>
      </c>
    </row>
    <row r="18" spans="3:10">
      <c r="C18" s="12" t="str">
        <f t="shared" si="5"/>
        <v/>
      </c>
      <c r="D18" s="12" t="str">
        <f t="shared" si="0"/>
        <v/>
      </c>
      <c r="E18" s="13" t="str">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
      </c>
      <c r="F18" s="14" t="str">
        <f>IF(E18="","",'TM-21 Inputs'!L22)</f>
        <v/>
      </c>
      <c r="G18" s="15" t="str">
        <f t="shared" si="1"/>
        <v/>
      </c>
      <c r="H18" s="16" t="str">
        <f t="shared" si="2"/>
        <v/>
      </c>
      <c r="I18" s="40" t="str">
        <f t="shared" si="3"/>
        <v/>
      </c>
      <c r="J18" s="41" t="str">
        <f t="shared" si="4"/>
        <v/>
      </c>
    </row>
    <row r="19" spans="3:10">
      <c r="C19" s="12" t="str">
        <f t="shared" si="5"/>
        <v/>
      </c>
      <c r="D19" s="12" t="str">
        <f t="shared" si="0"/>
        <v/>
      </c>
      <c r="E19" s="13" t="str">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
      </c>
      <c r="F19" s="14" t="str">
        <f>IF(E19="","",'TM-21 Inputs'!L23)</f>
        <v/>
      </c>
      <c r="G19" s="15" t="str">
        <f t="shared" si="1"/>
        <v/>
      </c>
      <c r="H19" s="16" t="str">
        <f t="shared" si="2"/>
        <v/>
      </c>
      <c r="I19" s="40" t="str">
        <f t="shared" si="3"/>
        <v/>
      </c>
      <c r="J19" s="41" t="str">
        <f t="shared" si="4"/>
        <v/>
      </c>
    </row>
    <row r="20" spans="3:10">
      <c r="C20" s="12" t="str">
        <f t="shared" si="5"/>
        <v/>
      </c>
      <c r="D20" s="12" t="str">
        <f t="shared" si="0"/>
        <v/>
      </c>
      <c r="E20" s="13" t="str">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
      </c>
      <c r="F20" s="14" t="str">
        <f>IF(E20="","",'TM-21 Inputs'!L24)</f>
        <v/>
      </c>
      <c r="G20" s="15" t="str">
        <f t="shared" si="1"/>
        <v/>
      </c>
      <c r="H20" s="16" t="str">
        <f t="shared" si="2"/>
        <v/>
      </c>
      <c r="I20" s="40" t="str">
        <f t="shared" si="3"/>
        <v/>
      </c>
      <c r="J20" s="41" t="str">
        <f t="shared" si="4"/>
        <v/>
      </c>
    </row>
    <row r="21" spans="3:10">
      <c r="C21" s="12" t="str">
        <f t="shared" si="5"/>
        <v/>
      </c>
      <c r="D21" s="12" t="str">
        <f t="shared" si="0"/>
        <v/>
      </c>
      <c r="E21" s="13" t="str">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
      </c>
      <c r="F21" s="14" t="str">
        <f>IF(E21="","",'TM-21 Inputs'!L25)</f>
        <v/>
      </c>
      <c r="G21" s="15" t="str">
        <f t="shared" si="1"/>
        <v/>
      </c>
      <c r="H21" s="16" t="str">
        <f t="shared" si="2"/>
        <v/>
      </c>
      <c r="I21" s="40" t="str">
        <f t="shared" si="3"/>
        <v/>
      </c>
      <c r="J21" s="41" t="str">
        <f t="shared" si="4"/>
        <v/>
      </c>
    </row>
    <row r="22" spans="3:10">
      <c r="C22" s="12" t="str">
        <f t="shared" si="5"/>
        <v/>
      </c>
      <c r="D22" s="12" t="str">
        <f t="shared" si="0"/>
        <v/>
      </c>
      <c r="E22" s="13" t="str">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
      </c>
      <c r="F22" s="14" t="str">
        <f>IF(E22="","",'TM-21 Inputs'!L26)</f>
        <v/>
      </c>
      <c r="G22" s="15" t="str">
        <f t="shared" si="1"/>
        <v/>
      </c>
      <c r="H22" s="16" t="str">
        <f t="shared" si="2"/>
        <v/>
      </c>
      <c r="I22" s="40" t="str">
        <f t="shared" si="3"/>
        <v/>
      </c>
      <c r="J22" s="41" t="str">
        <f t="shared" si="4"/>
        <v/>
      </c>
    </row>
    <row r="23" spans="3:10">
      <c r="C23" s="12" t="str">
        <f t="shared" si="5"/>
        <v/>
      </c>
      <c r="D23" s="12" t="str">
        <f t="shared" si="0"/>
        <v/>
      </c>
      <c r="E23" s="13"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14" t="str">
        <f>IF(E23="","",'TM-21 Inputs'!L27)</f>
        <v/>
      </c>
      <c r="G23" s="15" t="str">
        <f t="shared" si="1"/>
        <v/>
      </c>
      <c r="H23" s="16" t="str">
        <f t="shared" si="2"/>
        <v/>
      </c>
      <c r="I23" s="40" t="str">
        <f t="shared" si="3"/>
        <v/>
      </c>
      <c r="J23" s="41" t="str">
        <f t="shared" si="4"/>
        <v/>
      </c>
    </row>
    <row r="24" spans="3:10">
      <c r="C24" s="12" t="str">
        <f t="shared" si="5"/>
        <v/>
      </c>
      <c r="D24" s="12" t="str">
        <f t="shared" si="0"/>
        <v/>
      </c>
      <c r="E24" s="13"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14" t="str">
        <f>IF(E24="","",'TM-21 Inputs'!L28)</f>
        <v/>
      </c>
      <c r="G24" s="15" t="str">
        <f t="shared" si="1"/>
        <v/>
      </c>
      <c r="H24" s="16" t="str">
        <f t="shared" si="2"/>
        <v/>
      </c>
      <c r="I24" s="40" t="str">
        <f t="shared" si="3"/>
        <v/>
      </c>
      <c r="J24" s="41" t="str">
        <f t="shared" si="4"/>
        <v/>
      </c>
    </row>
    <row r="25" spans="3:10">
      <c r="C25" s="17" t="str">
        <f t="shared" si="5"/>
        <v/>
      </c>
      <c r="D25" s="17" t="str">
        <f t="shared" si="0"/>
        <v/>
      </c>
      <c r="E25" s="13"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19" t="str">
        <f>IF(E25="","",'TM-21 Inputs'!L29)</f>
        <v/>
      </c>
      <c r="G25" s="20" t="str">
        <f t="shared" si="1"/>
        <v/>
      </c>
      <c r="H25" s="21" t="str">
        <f t="shared" si="2"/>
        <v/>
      </c>
      <c r="I25" s="42" t="str">
        <f t="shared" si="3"/>
        <v/>
      </c>
      <c r="J25" s="43" t="str">
        <f t="shared" si="4"/>
        <v/>
      </c>
    </row>
    <row r="26" spans="3:10">
      <c r="C26" s="22" t="str">
        <f>IF(COUNTIFS(C6:C25,"&gt;96")=0,"PASS","FAIL")</f>
        <v>PASS</v>
      </c>
      <c r="D26" s="23" t="s">
        <v>99</v>
      </c>
      <c r="E26" s="24">
        <f t="shared" ref="E26:J26" si="6">SUM(E6:E25)</f>
        <v>39000</v>
      </c>
      <c r="F26" s="25">
        <f t="shared" si="6"/>
        <v>5.9425999999999997</v>
      </c>
      <c r="G26" s="26">
        <f t="shared" si="6"/>
        <v>-5.769790813857123E-2</v>
      </c>
      <c r="H26" s="27">
        <f t="shared" si="6"/>
        <v>-402.50137171303197</v>
      </c>
      <c r="I26" s="44">
        <f t="shared" si="6"/>
        <v>271000000</v>
      </c>
      <c r="J26" s="45">
        <f t="shared" si="6"/>
        <v>-402.50137171303197</v>
      </c>
    </row>
    <row r="28" spans="3:10" ht="15.75">
      <c r="E28" s="291" t="s">
        <v>22</v>
      </c>
      <c r="F28" s="293"/>
    </row>
    <row r="29" spans="3:10">
      <c r="E29" s="28" t="s">
        <v>100</v>
      </c>
      <c r="F29" s="29">
        <f>((COUNTIF(E6:E25,"&gt;"&amp;0)*H26-(E26*G26))/((COUNTIF(E6:E25,"&gt;"&amp;0)*I26)-(E26^2)))</f>
        <v>-1.5694267892753705E-6</v>
      </c>
    </row>
    <row r="30" spans="3:10">
      <c r="E30" s="30" t="s">
        <v>101</v>
      </c>
      <c r="F30" s="31">
        <f>(G26-(F29*E26))/COUNTIF(E6:E25,"&gt;"&amp;0)</f>
        <v>5.8495610719470328E-4</v>
      </c>
    </row>
    <row r="31" spans="3:10">
      <c r="E31" s="32" t="s">
        <v>58</v>
      </c>
      <c r="F31" s="31">
        <f>-F29</f>
        <v>1.5694267892753705E-6</v>
      </c>
    </row>
    <row r="32" spans="3:10">
      <c r="E32" s="30" t="s">
        <v>59</v>
      </c>
      <c r="F32" s="31">
        <f>EXP(F30)</f>
        <v>1.0005851272273827</v>
      </c>
    </row>
    <row r="33" spans="5:6" ht="30" customHeight="1">
      <c r="E33" s="33" t="str">
        <f>CONCATENATE("Calculated L",'TM-21 Inputs'!I35," (hrs):")</f>
        <v>Calculated L90 (hrs):</v>
      </c>
      <c r="F33" s="34">
        <f>ROUND((LN(F32/('TM-21 Inputs'!$I$35/100))/F31),-3)</f>
        <v>68000</v>
      </c>
    </row>
    <row r="34" spans="5:6" ht="30">
      <c r="E34" s="35" t="str">
        <f>CONCATENATE("Reported L",'TM-21 Inputs'!I35," (hrs):")</f>
        <v>Reported L90 (hrs):</v>
      </c>
      <c r="F34" s="36" t="str">
        <f>IF(OR(AND('TM-21 Inputs'!$I$18&gt;=20,$F$33&lt;6*'TM-21 Inputs'!$I$19),AND('TM-21 Inputs'!$I$18&gt;=10,'TM-21 Inputs'!$I$18&lt;=19,$F$33&lt;5.5*'TM-21 Inputs'!$I$19)),ROUND(F33,-3),IF('TM-21 Inputs'!$I$18&gt;=20,CONCATENATE("&gt;",ROUND((6*'TM-21 Inputs'!$I$19),-3)),IF(AND('TM-21 Inputs'!$I$18&gt;=10,'TM-21 Inputs'!$I$18&lt;=19),CONCATENATE("&gt;",ROUND((5.5*'TM-21 Inputs'!$I$19),-3)),"error")))</f>
        <v>&gt;54000</v>
      </c>
    </row>
  </sheetData>
  <mergeCells count="2">
    <mergeCell ref="C4:J4"/>
    <mergeCell ref="E28:F28"/>
  </mergeCells>
  <phoneticPr fontId="42" type="noConversion"/>
  <pageMargins left="0.69930555555555596" right="0.69930555555555596"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C4:J34"/>
  <sheetViews>
    <sheetView workbookViewId="0">
      <selection activeCell="J32" sqref="J32"/>
    </sheetView>
  </sheetViews>
  <sheetFormatPr defaultColWidth="9.140625" defaultRowHeight="15"/>
  <cols>
    <col min="1" max="1" width="17" style="1" customWidth="1"/>
    <col min="2" max="2" width="9.140625" style="1"/>
    <col min="3" max="3" width="9.28515625" style="1" customWidth="1"/>
    <col min="4" max="4" width="9.42578125" style="1" customWidth="1"/>
    <col min="5" max="5" width="12.85546875" style="1" customWidth="1"/>
    <col min="6" max="6" width="17.85546875" style="1" customWidth="1"/>
    <col min="7" max="7" width="27.5703125" style="1" customWidth="1"/>
    <col min="8" max="8" width="12.5703125" style="1" customWidth="1"/>
    <col min="9" max="9" width="11.140625" style="1" customWidth="1"/>
    <col min="10" max="16384" width="9.140625" style="1"/>
  </cols>
  <sheetData>
    <row r="4" spans="3:10" ht="15" customHeight="1">
      <c r="C4" s="291" t="str">
        <f>IF('TM-21 Inputs'!I22="","Insert Case Temperature 2",CONCATENATE("Test Data for ",'TM-21 Inputs'!I22,"⁰C Case Temperature"))</f>
        <v>Test Data for 105⁰C Case Temperature</v>
      </c>
      <c r="D4" s="292"/>
      <c r="E4" s="292"/>
      <c r="F4" s="292"/>
      <c r="G4" s="292"/>
      <c r="H4" s="292"/>
      <c r="I4" s="292"/>
      <c r="J4" s="293"/>
    </row>
    <row r="5" spans="3:10" ht="60" customHeight="1">
      <c r="C5" s="2" t="s">
        <v>91</v>
      </c>
      <c r="D5" s="3" t="s">
        <v>92</v>
      </c>
      <c r="E5" s="4" t="s">
        <v>93</v>
      </c>
      <c r="F5" s="5" t="s">
        <v>94</v>
      </c>
      <c r="G5" s="5" t="s">
        <v>95</v>
      </c>
      <c r="H5" s="5" t="s">
        <v>96</v>
      </c>
      <c r="I5" s="5" t="s">
        <v>97</v>
      </c>
      <c r="J5" s="37" t="s">
        <v>98</v>
      </c>
    </row>
    <row r="6" spans="3:10">
      <c r="C6" s="6" t="str">
        <f>"-"</f>
        <v>-</v>
      </c>
      <c r="D6" s="6" t="str">
        <f>"-"</f>
        <v>-</v>
      </c>
      <c r="E6" s="46"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8" t="str">
        <f>IF(E6="","",'TM-21 Inputs'!O10)</f>
        <v/>
      </c>
      <c r="G6" s="9" t="str">
        <f>IF(E6="","",LN(F6))</f>
        <v/>
      </c>
      <c r="H6" s="10" t="str">
        <f>IF(E6="","",(G6*E6))</f>
        <v/>
      </c>
      <c r="I6" s="38" t="str">
        <f>IF(E6="","",E6^2)</f>
        <v/>
      </c>
      <c r="J6" s="39" t="str">
        <f>IF(E6="","",E6*G6)</f>
        <v/>
      </c>
    </row>
    <row r="7" spans="3:10">
      <c r="C7" s="11" t="str">
        <f>"-"</f>
        <v>-</v>
      </c>
      <c r="D7" s="12" t="str">
        <f t="shared" ref="D7:D25" si="0">IF(OR(E6="",E7=""),"",E7-E6)</f>
        <v/>
      </c>
      <c r="E7" s="47"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14" t="str">
        <f>IF(E7="","",'TM-21 Inputs'!O11)</f>
        <v/>
      </c>
      <c r="G7" s="15" t="str">
        <f t="shared" ref="G7:G25" si="1">IF(E7="","",LN(F7))</f>
        <v/>
      </c>
      <c r="H7" s="16" t="str">
        <f t="shared" ref="H7:H25" si="2">IF(E7="","",(G7*E7))</f>
        <v/>
      </c>
      <c r="I7" s="40" t="str">
        <f t="shared" ref="I7:I25" si="3">IF(E7="","",E7^2)</f>
        <v/>
      </c>
      <c r="J7" s="41" t="str">
        <f t="shared" ref="J7:J25" si="4">IF(E7="","",E7*G7)</f>
        <v/>
      </c>
    </row>
    <row r="8" spans="3:10">
      <c r="C8" s="12" t="str">
        <f>IF(OR(D7="",D8=""),"",ABS(D8-D7))</f>
        <v/>
      </c>
      <c r="D8" s="12" t="str">
        <f t="shared" si="0"/>
        <v/>
      </c>
      <c r="E8" s="47"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14" t="str">
        <f>IF(E8="","",'TM-21 Inputs'!O12)</f>
        <v/>
      </c>
      <c r="G8" s="15" t="str">
        <f t="shared" si="1"/>
        <v/>
      </c>
      <c r="H8" s="16" t="str">
        <f t="shared" si="2"/>
        <v/>
      </c>
      <c r="I8" s="40" t="str">
        <f t="shared" si="3"/>
        <v/>
      </c>
      <c r="J8" s="41" t="str">
        <f t="shared" si="4"/>
        <v/>
      </c>
    </row>
    <row r="9" spans="3:10">
      <c r="C9" s="12" t="str">
        <f t="shared" ref="C9:C25" si="5">IF(OR(D8="",D9=""),"",ABS(D9-D8))</f>
        <v/>
      </c>
      <c r="D9" s="12" t="str">
        <f t="shared" si="0"/>
        <v/>
      </c>
      <c r="E9" s="47" t="str">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
      </c>
      <c r="F9" s="14" t="str">
        <f>IF(E9="","",'TM-21 Inputs'!O13)</f>
        <v/>
      </c>
      <c r="G9" s="15" t="str">
        <f t="shared" si="1"/>
        <v/>
      </c>
      <c r="H9" s="16" t="str">
        <f t="shared" si="2"/>
        <v/>
      </c>
      <c r="I9" s="40" t="str">
        <f t="shared" si="3"/>
        <v/>
      </c>
      <c r="J9" s="41" t="str">
        <f t="shared" si="4"/>
        <v/>
      </c>
    </row>
    <row r="10" spans="3:10">
      <c r="C10" s="12" t="str">
        <f t="shared" si="5"/>
        <v/>
      </c>
      <c r="D10" s="12" t="str">
        <f t="shared" si="0"/>
        <v/>
      </c>
      <c r="E10" s="47">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4000</v>
      </c>
      <c r="F10" s="14">
        <f>IF(E10="","",'TM-21 Inputs'!O14)</f>
        <v>0.99170000000000003</v>
      </c>
      <c r="G10" s="15">
        <f t="shared" si="1"/>
        <v>-8.3346367900576281E-3</v>
      </c>
      <c r="H10" s="16">
        <f t="shared" si="2"/>
        <v>-33.338547160230512</v>
      </c>
      <c r="I10" s="40">
        <f t="shared" si="3"/>
        <v>16000000</v>
      </c>
      <c r="J10" s="41">
        <f t="shared" si="4"/>
        <v>-33.338547160230512</v>
      </c>
    </row>
    <row r="11" spans="3:10">
      <c r="C11" s="12" t="str">
        <f t="shared" si="5"/>
        <v/>
      </c>
      <c r="D11" s="12">
        <f t="shared" si="0"/>
        <v>1000</v>
      </c>
      <c r="E11" s="47">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5000</v>
      </c>
      <c r="F11" s="14">
        <f>IF(E11="","",'TM-21 Inputs'!O15)</f>
        <v>0.9899</v>
      </c>
      <c r="G11" s="15">
        <f t="shared" si="1"/>
        <v>-1.0151351056375355E-2</v>
      </c>
      <c r="H11" s="16">
        <f t="shared" si="2"/>
        <v>-50.756755281876778</v>
      </c>
      <c r="I11" s="40">
        <f t="shared" si="3"/>
        <v>25000000</v>
      </c>
      <c r="J11" s="41">
        <f t="shared" si="4"/>
        <v>-50.756755281876778</v>
      </c>
    </row>
    <row r="12" spans="3:10">
      <c r="C12" s="12">
        <f t="shared" si="5"/>
        <v>0</v>
      </c>
      <c r="D12" s="12">
        <f t="shared" si="0"/>
        <v>1000</v>
      </c>
      <c r="E12" s="47">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6000</v>
      </c>
      <c r="F12" s="14">
        <f>IF(E12="","",'TM-21 Inputs'!O16)</f>
        <v>0.98760000000000003</v>
      </c>
      <c r="G12" s="15">
        <f t="shared" si="1"/>
        <v>-1.2477521511112579E-2</v>
      </c>
      <c r="H12" s="16">
        <f t="shared" si="2"/>
        <v>-74.865129066675479</v>
      </c>
      <c r="I12" s="40">
        <f t="shared" si="3"/>
        <v>36000000</v>
      </c>
      <c r="J12" s="41">
        <f t="shared" si="4"/>
        <v>-74.865129066675479</v>
      </c>
    </row>
    <row r="13" spans="3:10">
      <c r="C13" s="12">
        <f t="shared" si="5"/>
        <v>0</v>
      </c>
      <c r="D13" s="12">
        <f t="shared" si="0"/>
        <v>1000</v>
      </c>
      <c r="E13" s="47">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7000</v>
      </c>
      <c r="F13" s="14">
        <f>IF(E13="","",'TM-21 Inputs'!O17)</f>
        <v>0.98560000000000003</v>
      </c>
      <c r="G13" s="15">
        <f t="shared" si="1"/>
        <v>-1.4504686202881688E-2</v>
      </c>
      <c r="H13" s="16">
        <f t="shared" si="2"/>
        <v>-101.53280342017182</v>
      </c>
      <c r="I13" s="40">
        <f t="shared" si="3"/>
        <v>49000000</v>
      </c>
      <c r="J13" s="41">
        <f t="shared" si="4"/>
        <v>-101.53280342017182</v>
      </c>
    </row>
    <row r="14" spans="3:10">
      <c r="C14" s="12">
        <f t="shared" si="5"/>
        <v>0</v>
      </c>
      <c r="D14" s="12">
        <f t="shared" si="0"/>
        <v>1000</v>
      </c>
      <c r="E14" s="47">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8000</v>
      </c>
      <c r="F14" s="14">
        <f>IF(E14="","",'TM-21 Inputs'!O18)</f>
        <v>0.98340000000000005</v>
      </c>
      <c r="G14" s="15">
        <f t="shared" si="1"/>
        <v>-1.6739324004297996E-2</v>
      </c>
      <c r="H14" s="16">
        <f t="shared" si="2"/>
        <v>-133.91459203438396</v>
      </c>
      <c r="I14" s="40">
        <f t="shared" si="3"/>
        <v>64000000</v>
      </c>
      <c r="J14" s="41">
        <f t="shared" si="4"/>
        <v>-133.91459203438396</v>
      </c>
    </row>
    <row r="15" spans="3:10">
      <c r="C15" s="12">
        <f t="shared" si="5"/>
        <v>0</v>
      </c>
      <c r="D15" s="12">
        <f t="shared" si="0"/>
        <v>1000</v>
      </c>
      <c r="E15" s="47">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9000</v>
      </c>
      <c r="F15" s="14">
        <f>IF(E15="","",'TM-21 Inputs'!O19)</f>
        <v>0.98070000000000002</v>
      </c>
      <c r="G15" s="15">
        <f t="shared" si="1"/>
        <v>-1.9488676583862413E-2</v>
      </c>
      <c r="H15" s="16">
        <f t="shared" si="2"/>
        <v>-175.39808925476171</v>
      </c>
      <c r="I15" s="40">
        <f t="shared" si="3"/>
        <v>81000000</v>
      </c>
      <c r="J15" s="41">
        <f t="shared" si="4"/>
        <v>-175.39808925476171</v>
      </c>
    </row>
    <row r="16" spans="3:10">
      <c r="C16" s="12" t="str">
        <f t="shared" si="5"/>
        <v/>
      </c>
      <c r="D16" s="12" t="str">
        <f t="shared" si="0"/>
        <v/>
      </c>
      <c r="E16" s="47" t="str">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
      </c>
      <c r="F16" s="14" t="str">
        <f>IF(E16="","",'TM-21 Inputs'!O20)</f>
        <v/>
      </c>
      <c r="G16" s="15" t="str">
        <f t="shared" si="1"/>
        <v/>
      </c>
      <c r="H16" s="16" t="str">
        <f t="shared" si="2"/>
        <v/>
      </c>
      <c r="I16" s="40" t="str">
        <f t="shared" si="3"/>
        <v/>
      </c>
      <c r="J16" s="41" t="str">
        <f t="shared" si="4"/>
        <v/>
      </c>
    </row>
    <row r="17" spans="3:10">
      <c r="C17" s="12" t="str">
        <f t="shared" si="5"/>
        <v/>
      </c>
      <c r="D17" s="12" t="str">
        <f t="shared" si="0"/>
        <v/>
      </c>
      <c r="E17" s="47" t="str">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
      </c>
      <c r="F17" s="14" t="str">
        <f>IF(E17="","",'TM-21 Inputs'!O21)</f>
        <v/>
      </c>
      <c r="G17" s="15" t="str">
        <f t="shared" si="1"/>
        <v/>
      </c>
      <c r="H17" s="16" t="str">
        <f t="shared" si="2"/>
        <v/>
      </c>
      <c r="I17" s="40" t="str">
        <f t="shared" si="3"/>
        <v/>
      </c>
      <c r="J17" s="41" t="str">
        <f t="shared" si="4"/>
        <v/>
      </c>
    </row>
    <row r="18" spans="3:10">
      <c r="C18" s="12" t="str">
        <f t="shared" si="5"/>
        <v/>
      </c>
      <c r="D18" s="12" t="str">
        <f t="shared" si="0"/>
        <v/>
      </c>
      <c r="E18" s="47" t="str">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
      </c>
      <c r="F18" s="14" t="str">
        <f>IF(E18="","",'TM-21 Inputs'!O22)</f>
        <v/>
      </c>
      <c r="G18" s="15" t="str">
        <f t="shared" si="1"/>
        <v/>
      </c>
      <c r="H18" s="16" t="str">
        <f t="shared" si="2"/>
        <v/>
      </c>
      <c r="I18" s="40" t="str">
        <f t="shared" si="3"/>
        <v/>
      </c>
      <c r="J18" s="41" t="str">
        <f t="shared" si="4"/>
        <v/>
      </c>
    </row>
    <row r="19" spans="3:10">
      <c r="C19" s="12" t="str">
        <f t="shared" si="5"/>
        <v/>
      </c>
      <c r="D19" s="12" t="str">
        <f t="shared" si="0"/>
        <v/>
      </c>
      <c r="E19" s="47" t="str">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
      </c>
      <c r="F19" s="14" t="str">
        <f>IF(E19="","",'TM-21 Inputs'!O23)</f>
        <v/>
      </c>
      <c r="G19" s="15" t="str">
        <f t="shared" si="1"/>
        <v/>
      </c>
      <c r="H19" s="16" t="str">
        <f t="shared" si="2"/>
        <v/>
      </c>
      <c r="I19" s="40" t="str">
        <f t="shared" si="3"/>
        <v/>
      </c>
      <c r="J19" s="41" t="str">
        <f t="shared" si="4"/>
        <v/>
      </c>
    </row>
    <row r="20" spans="3:10">
      <c r="C20" s="12" t="str">
        <f t="shared" si="5"/>
        <v/>
      </c>
      <c r="D20" s="12" t="str">
        <f t="shared" si="0"/>
        <v/>
      </c>
      <c r="E20" s="47" t="str">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
      </c>
      <c r="F20" s="14" t="str">
        <f>IF(E20="","",'TM-21 Inputs'!O24)</f>
        <v/>
      </c>
      <c r="G20" s="15" t="str">
        <f t="shared" si="1"/>
        <v/>
      </c>
      <c r="H20" s="16" t="str">
        <f t="shared" si="2"/>
        <v/>
      </c>
      <c r="I20" s="40" t="str">
        <f t="shared" si="3"/>
        <v/>
      </c>
      <c r="J20" s="41" t="str">
        <f t="shared" si="4"/>
        <v/>
      </c>
    </row>
    <row r="21" spans="3:10">
      <c r="C21" s="12" t="str">
        <f t="shared" si="5"/>
        <v/>
      </c>
      <c r="D21" s="12" t="str">
        <f t="shared" si="0"/>
        <v/>
      </c>
      <c r="E21" s="47" t="str">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
      </c>
      <c r="F21" s="14" t="str">
        <f>IF(E21="","",'TM-21 Inputs'!O25)</f>
        <v/>
      </c>
      <c r="G21" s="15" t="str">
        <f t="shared" si="1"/>
        <v/>
      </c>
      <c r="H21" s="16" t="str">
        <f t="shared" si="2"/>
        <v/>
      </c>
      <c r="I21" s="40" t="str">
        <f t="shared" si="3"/>
        <v/>
      </c>
      <c r="J21" s="41" t="str">
        <f t="shared" si="4"/>
        <v/>
      </c>
    </row>
    <row r="22" spans="3:10">
      <c r="C22" s="12" t="str">
        <f t="shared" si="5"/>
        <v/>
      </c>
      <c r="D22" s="12" t="str">
        <f t="shared" si="0"/>
        <v/>
      </c>
      <c r="E22" s="47" t="str">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
      </c>
      <c r="F22" s="14" t="str">
        <f>IF(E22="","",'TM-21 Inputs'!O26)</f>
        <v/>
      </c>
      <c r="G22" s="15" t="str">
        <f t="shared" si="1"/>
        <v/>
      </c>
      <c r="H22" s="16" t="str">
        <f t="shared" si="2"/>
        <v/>
      </c>
      <c r="I22" s="40" t="str">
        <f t="shared" si="3"/>
        <v/>
      </c>
      <c r="J22" s="41" t="str">
        <f t="shared" si="4"/>
        <v/>
      </c>
    </row>
    <row r="23" spans="3:10">
      <c r="C23" s="12" t="str">
        <f t="shared" si="5"/>
        <v/>
      </c>
      <c r="D23" s="12" t="str">
        <f t="shared" si="0"/>
        <v/>
      </c>
      <c r="E23" s="47"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14" t="str">
        <f>IF(E23="","",'TM-21 Inputs'!O27)</f>
        <v/>
      </c>
      <c r="G23" s="15" t="str">
        <f t="shared" si="1"/>
        <v/>
      </c>
      <c r="H23" s="16" t="str">
        <f t="shared" si="2"/>
        <v/>
      </c>
      <c r="I23" s="40" t="str">
        <f t="shared" si="3"/>
        <v/>
      </c>
      <c r="J23" s="41" t="str">
        <f t="shared" si="4"/>
        <v/>
      </c>
    </row>
    <row r="24" spans="3:10">
      <c r="C24" s="12" t="str">
        <f t="shared" si="5"/>
        <v/>
      </c>
      <c r="D24" s="12" t="str">
        <f t="shared" si="0"/>
        <v/>
      </c>
      <c r="E24" s="47"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14" t="str">
        <f>IF(E24="","",'TM-21 Inputs'!O28)</f>
        <v/>
      </c>
      <c r="G24" s="15" t="str">
        <f t="shared" si="1"/>
        <v/>
      </c>
      <c r="H24" s="16" t="str">
        <f t="shared" si="2"/>
        <v/>
      </c>
      <c r="I24" s="40" t="str">
        <f t="shared" si="3"/>
        <v/>
      </c>
      <c r="J24" s="41" t="str">
        <f t="shared" si="4"/>
        <v/>
      </c>
    </row>
    <row r="25" spans="3:10">
      <c r="C25" s="17" t="str">
        <f t="shared" si="5"/>
        <v/>
      </c>
      <c r="D25" s="17" t="str">
        <f t="shared" si="0"/>
        <v/>
      </c>
      <c r="E25" s="47"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19" t="str">
        <f>IF(E25="","",'TM-21 Inputs'!O29)</f>
        <v/>
      </c>
      <c r="G25" s="20" t="str">
        <f t="shared" si="1"/>
        <v/>
      </c>
      <c r="H25" s="21" t="str">
        <f t="shared" si="2"/>
        <v/>
      </c>
      <c r="I25" s="42" t="str">
        <f t="shared" si="3"/>
        <v/>
      </c>
      <c r="J25" s="43" t="str">
        <f t="shared" si="4"/>
        <v/>
      </c>
    </row>
    <row r="26" spans="3:10">
      <c r="C26" s="22" t="str">
        <f>IF(COUNTIFS(C6:C25,"&gt;96")=0,"PASS","FAIL")</f>
        <v>PASS</v>
      </c>
      <c r="D26" s="23" t="s">
        <v>99</v>
      </c>
      <c r="E26" s="24">
        <f t="shared" ref="E26:J26" si="6">SUM(E6:E25)</f>
        <v>39000</v>
      </c>
      <c r="F26" s="25">
        <f t="shared" si="6"/>
        <v>5.9188999999999998</v>
      </c>
      <c r="G26" s="26">
        <f t="shared" si="6"/>
        <v>-8.1696196148587655E-2</v>
      </c>
      <c r="H26" s="27">
        <f t="shared" si="6"/>
        <v>-569.80591621810026</v>
      </c>
      <c r="I26" s="44">
        <f t="shared" si="6"/>
        <v>271000000</v>
      </c>
      <c r="J26" s="45">
        <f t="shared" si="6"/>
        <v>-569.80591621810026</v>
      </c>
    </row>
    <row r="28" spans="3:10" ht="15.75">
      <c r="E28" s="291" t="s">
        <v>22</v>
      </c>
      <c r="F28" s="293"/>
    </row>
    <row r="29" spans="3:10">
      <c r="E29" s="28" t="s">
        <v>100</v>
      </c>
      <c r="F29" s="29">
        <f>IF('TM-21 Inputs'!I22="","",((COUNTIF(E6:E25,"&gt;"&amp;0)*H26-(E26*G26))/((COUNTIF(E6:E25,"&gt;"&amp;0)*I26)-(E26^2))))</f>
        <v>-2.2160366429874555E-6</v>
      </c>
    </row>
    <row r="30" spans="3:10">
      <c r="E30" s="30" t="s">
        <v>101</v>
      </c>
      <c r="F30" s="31">
        <f>IF('TM-21 Inputs'!I22="","",(G26-(F29*E26))/COUNTIF(E6:E25,"&gt;"&amp;0))</f>
        <v>7.8820548798718554E-4</v>
      </c>
    </row>
    <row r="31" spans="3:10">
      <c r="E31" s="32" t="s">
        <v>58</v>
      </c>
      <c r="F31" s="31">
        <f>IF('TM-21 Inputs'!I22="","",-F29)</f>
        <v>2.2160366429874555E-6</v>
      </c>
    </row>
    <row r="32" spans="3:10">
      <c r="E32" s="30" t="s">
        <v>59</v>
      </c>
      <c r="F32" s="31">
        <f>IF('TM-21 Inputs'!I22="","",EXP(F30))</f>
        <v>1.0007885162035635</v>
      </c>
    </row>
    <row r="33" spans="5:6" ht="30" customHeight="1">
      <c r="E33" s="33" t="str">
        <f>CONCATENATE("Calculated L",'TM-21 Inputs'!I35," (hrs):")</f>
        <v>Calculated L90 (hrs):</v>
      </c>
      <c r="F33" s="34">
        <f>IF('TM-21 Inputs'!I22="","",ROUND((LN(F32/('TM-21 Inputs'!$I$35/100))/F31),-3))</f>
        <v>48000</v>
      </c>
    </row>
    <row r="34" spans="5:6" ht="30">
      <c r="E34" s="35" t="str">
        <f>CONCATENATE("Reported L",'TM-21 Inputs'!I35," (hrs):")</f>
        <v>Reported L90 (hrs):</v>
      </c>
      <c r="F34" s="36">
        <f>IF('TM-21 Inputs'!I22="","",IF(OR(AND('TM-21 Inputs'!$I$18&gt;=20,$F$33&lt;6*'TM-21 Inputs'!$I$19),AND('TM-21 Inputs'!$I$18&gt;=10,'TM-21 Inputs'!$I$18&lt;=19,$F$33&lt;5.5*'TM-21 Inputs'!$I$19)),ROUND(F33,-3),IF('TM-21 Inputs'!$I$18&gt;=20,CONCATENATE("&gt;",ROUND((6*'TM-21 Inputs'!$I$19),-3)),IF(AND('TM-21 Inputs'!$I$18&gt;=10,'TM-21 Inputs'!$I$18&lt;=19),CONCATENATE("&gt;",ROUND((5.5*'TM-21 Inputs'!$I$19),-3)),"error"))))</f>
        <v>48000</v>
      </c>
    </row>
  </sheetData>
  <mergeCells count="2">
    <mergeCell ref="C4:J4"/>
    <mergeCell ref="E28:F28"/>
  </mergeCells>
  <phoneticPr fontId="42" type="noConversion"/>
  <pageMargins left="0.69930555555555596" right="0.69930555555555596"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C4:J34"/>
  <sheetViews>
    <sheetView workbookViewId="0">
      <selection activeCell="G29" sqref="G29"/>
    </sheetView>
  </sheetViews>
  <sheetFormatPr defaultColWidth="9.140625" defaultRowHeight="15"/>
  <cols>
    <col min="1" max="1" width="17" style="1" customWidth="1"/>
    <col min="2" max="3" width="9.140625" style="1"/>
    <col min="4" max="4" width="9.42578125" style="1" customWidth="1"/>
    <col min="5" max="5" width="12.85546875" style="1" customWidth="1"/>
    <col min="6" max="6" width="17.85546875" style="1" customWidth="1"/>
    <col min="7" max="7" width="27.5703125" style="1" customWidth="1"/>
    <col min="8" max="8" width="12.5703125" style="1" customWidth="1"/>
    <col min="9" max="9" width="11.140625" style="1" customWidth="1"/>
    <col min="10" max="16384" width="9.140625" style="1"/>
  </cols>
  <sheetData>
    <row r="4" spans="3:10" ht="15" customHeight="1">
      <c r="C4" s="291" t="str">
        <f>IF('TM-21 Inputs'!I23="","Insert Case Temperature 3",CONCATENATE("Test Data for ",'TM-21 Inputs'!I23,"⁰C Case Temperature"))</f>
        <v>Insert Case Temperature 3</v>
      </c>
      <c r="D4" s="292"/>
      <c r="E4" s="292"/>
      <c r="F4" s="292"/>
      <c r="G4" s="292"/>
      <c r="H4" s="292"/>
      <c r="I4" s="292"/>
      <c r="J4" s="293"/>
    </row>
    <row r="5" spans="3:10" ht="60" customHeight="1">
      <c r="C5" s="2" t="s">
        <v>91</v>
      </c>
      <c r="D5" s="3" t="s">
        <v>92</v>
      </c>
      <c r="E5" s="4" t="s">
        <v>93</v>
      </c>
      <c r="F5" s="5" t="s">
        <v>94</v>
      </c>
      <c r="G5" s="5" t="s">
        <v>95</v>
      </c>
      <c r="H5" s="5" t="s">
        <v>96</v>
      </c>
      <c r="I5" s="5" t="s">
        <v>97</v>
      </c>
      <c r="J5" s="37" t="s">
        <v>98</v>
      </c>
    </row>
    <row r="6" spans="3:10">
      <c r="C6" s="6" t="str">
        <f>"-"</f>
        <v>-</v>
      </c>
      <c r="D6" s="6"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8" t="str">
        <f>IF(E6="","",'TM-21 Inputs'!R10)</f>
        <v/>
      </c>
      <c r="G6" s="9" t="str">
        <f>IF(E6="","",LN(F6))</f>
        <v/>
      </c>
      <c r="H6" s="10" t="str">
        <f>IF(E6="","",(G6*E6))</f>
        <v/>
      </c>
      <c r="I6" s="38" t="str">
        <f>IF(E6="","",E6^2)</f>
        <v/>
      </c>
      <c r="J6" s="39" t="str">
        <f>IF(E6="","",E6*G6)</f>
        <v/>
      </c>
    </row>
    <row r="7" spans="3:10">
      <c r="C7" s="11" t="str">
        <f>"-"</f>
        <v>-</v>
      </c>
      <c r="D7" s="12" t="str">
        <f t="shared" ref="D7:D25" si="0">IF(OR(E6="",E7=""),"",E7-E6)</f>
        <v/>
      </c>
      <c r="E7" s="13"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14" t="str">
        <f>IF(E7="","",'TM-21 Inputs'!R11)</f>
        <v/>
      </c>
      <c r="G7" s="15" t="str">
        <f t="shared" ref="G7:G25" si="1">IF(E7="","",LN(F7))</f>
        <v/>
      </c>
      <c r="H7" s="16" t="str">
        <f t="shared" ref="H7:H25" si="2">IF(E7="","",(G7*E7))</f>
        <v/>
      </c>
      <c r="I7" s="40" t="str">
        <f t="shared" ref="I7:I25" si="3">IF(E7="","",E7^2)</f>
        <v/>
      </c>
      <c r="J7" s="41" t="str">
        <f t="shared" ref="J7:J25" si="4">IF(E7="","",E7*G7)</f>
        <v/>
      </c>
    </row>
    <row r="8" spans="3:10">
      <c r="C8" s="12" t="str">
        <f>IF(OR(D7="",D8=""),"",ABS(D8-D7))</f>
        <v/>
      </c>
      <c r="D8" s="12" t="str">
        <f t="shared" si="0"/>
        <v/>
      </c>
      <c r="E8" s="13"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14" t="str">
        <f>IF(E8="","",'TM-21 Inputs'!R12)</f>
        <v/>
      </c>
      <c r="G8" s="15" t="str">
        <f t="shared" si="1"/>
        <v/>
      </c>
      <c r="H8" s="16" t="str">
        <f t="shared" si="2"/>
        <v/>
      </c>
      <c r="I8" s="40" t="str">
        <f t="shared" si="3"/>
        <v/>
      </c>
      <c r="J8" s="41" t="str">
        <f t="shared" si="4"/>
        <v/>
      </c>
    </row>
    <row r="9" spans="3:10">
      <c r="C9" s="12" t="str">
        <f t="shared" ref="C9:C25" si="5">IF(OR(D8="",D9=""),"",ABS(D9-D8))</f>
        <v/>
      </c>
      <c r="D9" s="12" t="str">
        <f t="shared" si="0"/>
        <v/>
      </c>
      <c r="E9" s="13"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14" t="str">
        <f>IF(E9="","",'TM-21 Inputs'!R13)</f>
        <v/>
      </c>
      <c r="G9" s="15" t="str">
        <f t="shared" si="1"/>
        <v/>
      </c>
      <c r="H9" s="16" t="str">
        <f t="shared" si="2"/>
        <v/>
      </c>
      <c r="I9" s="40" t="str">
        <f t="shared" si="3"/>
        <v/>
      </c>
      <c r="J9" s="41" t="str">
        <f t="shared" si="4"/>
        <v/>
      </c>
    </row>
    <row r="10" spans="3:10">
      <c r="C10" s="12" t="str">
        <f t="shared" si="5"/>
        <v/>
      </c>
      <c r="D10" s="12" t="str">
        <f t="shared" si="0"/>
        <v/>
      </c>
      <c r="E10" s="13"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14" t="str">
        <f>IF(E10="","",'TM-21 Inputs'!R14)</f>
        <v/>
      </c>
      <c r="G10" s="15" t="str">
        <f t="shared" si="1"/>
        <v/>
      </c>
      <c r="H10" s="16" t="str">
        <f t="shared" si="2"/>
        <v/>
      </c>
      <c r="I10" s="40" t="str">
        <f t="shared" si="3"/>
        <v/>
      </c>
      <c r="J10" s="41" t="str">
        <f t="shared" si="4"/>
        <v/>
      </c>
    </row>
    <row r="11" spans="3:10">
      <c r="C11" s="12" t="str">
        <f t="shared" si="5"/>
        <v/>
      </c>
      <c r="D11" s="12" t="str">
        <f t="shared" si="0"/>
        <v/>
      </c>
      <c r="E11" s="13"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14" t="str">
        <f>IF(E11="","",'TM-21 Inputs'!R15)</f>
        <v/>
      </c>
      <c r="G11" s="15" t="str">
        <f t="shared" si="1"/>
        <v/>
      </c>
      <c r="H11" s="16" t="str">
        <f t="shared" si="2"/>
        <v/>
      </c>
      <c r="I11" s="40" t="str">
        <f t="shared" si="3"/>
        <v/>
      </c>
      <c r="J11" s="41" t="str">
        <f t="shared" si="4"/>
        <v/>
      </c>
    </row>
    <row r="12" spans="3:10">
      <c r="C12" s="12" t="str">
        <f t="shared" si="5"/>
        <v/>
      </c>
      <c r="D12" s="12" t="str">
        <f t="shared" si="0"/>
        <v/>
      </c>
      <c r="E12" s="13"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14" t="str">
        <f>IF(E12="","",'TM-21 Inputs'!R16)</f>
        <v/>
      </c>
      <c r="G12" s="15" t="str">
        <f t="shared" si="1"/>
        <v/>
      </c>
      <c r="H12" s="16" t="str">
        <f t="shared" si="2"/>
        <v/>
      </c>
      <c r="I12" s="40" t="str">
        <f t="shared" si="3"/>
        <v/>
      </c>
      <c r="J12" s="41" t="str">
        <f t="shared" si="4"/>
        <v/>
      </c>
    </row>
    <row r="13" spans="3:10">
      <c r="C13" s="12" t="str">
        <f t="shared" si="5"/>
        <v/>
      </c>
      <c r="D13" s="12" t="str">
        <f t="shared" si="0"/>
        <v/>
      </c>
      <c r="E13" s="13" t="str">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
      </c>
      <c r="F13" s="14" t="str">
        <f>IF(E13="","",'TM-21 Inputs'!R17)</f>
        <v/>
      </c>
      <c r="G13" s="15" t="str">
        <f t="shared" si="1"/>
        <v/>
      </c>
      <c r="H13" s="16" t="str">
        <f t="shared" si="2"/>
        <v/>
      </c>
      <c r="I13" s="40" t="str">
        <f t="shared" si="3"/>
        <v/>
      </c>
      <c r="J13" s="41" t="str">
        <f t="shared" si="4"/>
        <v/>
      </c>
    </row>
    <row r="14" spans="3:10">
      <c r="C14" s="12" t="str">
        <f t="shared" si="5"/>
        <v/>
      </c>
      <c r="D14" s="12" t="str">
        <f t="shared" si="0"/>
        <v/>
      </c>
      <c r="E14" s="13" t="str">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
      </c>
      <c r="F14" s="14" t="str">
        <f>IF(E14="","",'TM-21 Inputs'!R18)</f>
        <v/>
      </c>
      <c r="G14" s="15" t="str">
        <f t="shared" si="1"/>
        <v/>
      </c>
      <c r="H14" s="16" t="str">
        <f t="shared" si="2"/>
        <v/>
      </c>
      <c r="I14" s="40" t="str">
        <f t="shared" si="3"/>
        <v/>
      </c>
      <c r="J14" s="41" t="str">
        <f t="shared" si="4"/>
        <v/>
      </c>
    </row>
    <row r="15" spans="3:10">
      <c r="C15" s="12" t="str">
        <f t="shared" si="5"/>
        <v/>
      </c>
      <c r="D15" s="12" t="str">
        <f t="shared" si="0"/>
        <v/>
      </c>
      <c r="E15" s="13" t="str">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
      </c>
      <c r="F15" s="14" t="str">
        <f>IF(E15="","",'TM-21 Inputs'!R19)</f>
        <v/>
      </c>
      <c r="G15" s="15" t="str">
        <f t="shared" si="1"/>
        <v/>
      </c>
      <c r="H15" s="16" t="str">
        <f t="shared" si="2"/>
        <v/>
      </c>
      <c r="I15" s="40" t="str">
        <f t="shared" si="3"/>
        <v/>
      </c>
      <c r="J15" s="41" t="str">
        <f t="shared" si="4"/>
        <v/>
      </c>
    </row>
    <row r="16" spans="3:10">
      <c r="C16" s="12" t="str">
        <f t="shared" si="5"/>
        <v/>
      </c>
      <c r="D16" s="12" t="str">
        <f t="shared" si="0"/>
        <v/>
      </c>
      <c r="E16" s="13" t="str">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
      </c>
      <c r="F16" s="14" t="str">
        <f>IF(E16="","",'TM-21 Inputs'!R20)</f>
        <v/>
      </c>
      <c r="G16" s="15" t="str">
        <f t="shared" si="1"/>
        <v/>
      </c>
      <c r="H16" s="16" t="str">
        <f t="shared" si="2"/>
        <v/>
      </c>
      <c r="I16" s="40" t="str">
        <f t="shared" si="3"/>
        <v/>
      </c>
      <c r="J16" s="41" t="str">
        <f t="shared" si="4"/>
        <v/>
      </c>
    </row>
    <row r="17" spans="3:10">
      <c r="C17" s="12" t="str">
        <f t="shared" si="5"/>
        <v/>
      </c>
      <c r="D17" s="12" t="str">
        <f t="shared" si="0"/>
        <v/>
      </c>
      <c r="E17" s="13" t="str">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
      </c>
      <c r="F17" s="14" t="str">
        <f>IF(E17="","",'TM-21 Inputs'!R21)</f>
        <v/>
      </c>
      <c r="G17" s="15" t="str">
        <f t="shared" si="1"/>
        <v/>
      </c>
      <c r="H17" s="16" t="str">
        <f t="shared" si="2"/>
        <v/>
      </c>
      <c r="I17" s="40" t="str">
        <f t="shared" si="3"/>
        <v/>
      </c>
      <c r="J17" s="41" t="str">
        <f t="shared" si="4"/>
        <v/>
      </c>
    </row>
    <row r="18" spans="3:10">
      <c r="C18" s="12" t="str">
        <f t="shared" si="5"/>
        <v/>
      </c>
      <c r="D18" s="12" t="str">
        <f t="shared" si="0"/>
        <v/>
      </c>
      <c r="E18" s="13" t="str">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
      </c>
      <c r="F18" s="14" t="str">
        <f>IF(E18="","",'TM-21 Inputs'!R22)</f>
        <v/>
      </c>
      <c r="G18" s="15" t="str">
        <f t="shared" si="1"/>
        <v/>
      </c>
      <c r="H18" s="16" t="str">
        <f t="shared" si="2"/>
        <v/>
      </c>
      <c r="I18" s="40" t="str">
        <f t="shared" si="3"/>
        <v/>
      </c>
      <c r="J18" s="41" t="str">
        <f t="shared" si="4"/>
        <v/>
      </c>
    </row>
    <row r="19" spans="3:10">
      <c r="C19" s="12" t="str">
        <f t="shared" si="5"/>
        <v/>
      </c>
      <c r="D19" s="12" t="str">
        <f t="shared" si="0"/>
        <v/>
      </c>
      <c r="E19" s="13" t="str">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
      </c>
      <c r="F19" s="14" t="str">
        <f>IF(E19="","",'TM-21 Inputs'!R23)</f>
        <v/>
      </c>
      <c r="G19" s="15" t="str">
        <f t="shared" si="1"/>
        <v/>
      </c>
      <c r="H19" s="16" t="str">
        <f t="shared" si="2"/>
        <v/>
      </c>
      <c r="I19" s="40" t="str">
        <f t="shared" si="3"/>
        <v/>
      </c>
      <c r="J19" s="41" t="str">
        <f t="shared" si="4"/>
        <v/>
      </c>
    </row>
    <row r="20" spans="3:10">
      <c r="C20" s="12" t="str">
        <f t="shared" si="5"/>
        <v/>
      </c>
      <c r="D20" s="12" t="str">
        <f t="shared" si="0"/>
        <v/>
      </c>
      <c r="E20" s="13" t="str">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
      </c>
      <c r="F20" s="14" t="str">
        <f>IF(E20="","",'TM-21 Inputs'!R24)</f>
        <v/>
      </c>
      <c r="G20" s="15" t="str">
        <f t="shared" si="1"/>
        <v/>
      </c>
      <c r="H20" s="16" t="str">
        <f t="shared" si="2"/>
        <v/>
      </c>
      <c r="I20" s="40" t="str">
        <f t="shared" si="3"/>
        <v/>
      </c>
      <c r="J20" s="41" t="str">
        <f t="shared" si="4"/>
        <v/>
      </c>
    </row>
    <row r="21" spans="3:10">
      <c r="C21" s="12" t="str">
        <f t="shared" si="5"/>
        <v/>
      </c>
      <c r="D21" s="12" t="str">
        <f t="shared" si="0"/>
        <v/>
      </c>
      <c r="E21" s="13" t="str">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
      </c>
      <c r="F21" s="14" t="str">
        <f>IF(E21="","",'TM-21 Inputs'!R25)</f>
        <v/>
      </c>
      <c r="G21" s="15" t="str">
        <f t="shared" si="1"/>
        <v/>
      </c>
      <c r="H21" s="16" t="str">
        <f t="shared" si="2"/>
        <v/>
      </c>
      <c r="I21" s="40" t="str">
        <f t="shared" si="3"/>
        <v/>
      </c>
      <c r="J21" s="41" t="str">
        <f t="shared" si="4"/>
        <v/>
      </c>
    </row>
    <row r="22" spans="3:10">
      <c r="C22" s="12" t="str">
        <f t="shared" si="5"/>
        <v/>
      </c>
      <c r="D22" s="12" t="str">
        <f t="shared" si="0"/>
        <v/>
      </c>
      <c r="E22" s="13" t="str">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
      </c>
      <c r="F22" s="14" t="str">
        <f>IF(E22="","",'TM-21 Inputs'!R26)</f>
        <v/>
      </c>
      <c r="G22" s="15" t="str">
        <f t="shared" si="1"/>
        <v/>
      </c>
      <c r="H22" s="16" t="str">
        <f t="shared" si="2"/>
        <v/>
      </c>
      <c r="I22" s="40" t="str">
        <f t="shared" si="3"/>
        <v/>
      </c>
      <c r="J22" s="41" t="str">
        <f t="shared" si="4"/>
        <v/>
      </c>
    </row>
    <row r="23" spans="3:10">
      <c r="C23" s="12" t="str">
        <f t="shared" si="5"/>
        <v/>
      </c>
      <c r="D23" s="12" t="str">
        <f t="shared" si="0"/>
        <v/>
      </c>
      <c r="E23" s="13"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14" t="str">
        <f>IF(E23="","",'TM-21 Inputs'!R27)</f>
        <v/>
      </c>
      <c r="G23" s="15" t="str">
        <f t="shared" si="1"/>
        <v/>
      </c>
      <c r="H23" s="16" t="str">
        <f t="shared" si="2"/>
        <v/>
      </c>
      <c r="I23" s="40" t="str">
        <f t="shared" si="3"/>
        <v/>
      </c>
      <c r="J23" s="41" t="str">
        <f t="shared" si="4"/>
        <v/>
      </c>
    </row>
    <row r="24" spans="3:10">
      <c r="C24" s="12" t="str">
        <f t="shared" si="5"/>
        <v/>
      </c>
      <c r="D24" s="12" t="str">
        <f t="shared" si="0"/>
        <v/>
      </c>
      <c r="E24" s="13"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14" t="str">
        <f>IF(E24="","",'TM-21 Inputs'!R28)</f>
        <v/>
      </c>
      <c r="G24" s="15" t="str">
        <f t="shared" si="1"/>
        <v/>
      </c>
      <c r="H24" s="16" t="str">
        <f t="shared" si="2"/>
        <v/>
      </c>
      <c r="I24" s="40" t="str">
        <f t="shared" si="3"/>
        <v/>
      </c>
      <c r="J24" s="41" t="str">
        <f t="shared" si="4"/>
        <v/>
      </c>
    </row>
    <row r="25" spans="3:10">
      <c r="C25" s="17" t="str">
        <f t="shared" si="5"/>
        <v/>
      </c>
      <c r="D25" s="17" t="str">
        <f t="shared" si="0"/>
        <v/>
      </c>
      <c r="E25" s="18"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19" t="str">
        <f>IF(E25="","",'TM-21 Inputs'!R29)</f>
        <v/>
      </c>
      <c r="G25" s="20" t="str">
        <f t="shared" si="1"/>
        <v/>
      </c>
      <c r="H25" s="21" t="str">
        <f t="shared" si="2"/>
        <v/>
      </c>
      <c r="I25" s="42" t="str">
        <f t="shared" si="3"/>
        <v/>
      </c>
      <c r="J25" s="43" t="str">
        <f t="shared" si="4"/>
        <v/>
      </c>
    </row>
    <row r="26" spans="3:10">
      <c r="C26" s="22" t="str">
        <f>IF(COUNTIFS(C6:C25,"&gt;96")=0,"PASS","FAIL")</f>
        <v>PASS</v>
      </c>
      <c r="D26" s="23" t="s">
        <v>99</v>
      </c>
      <c r="E26" s="24">
        <f t="shared" ref="E26:J26" si="6">SUM(E6:E25)</f>
        <v>0</v>
      </c>
      <c r="F26" s="25">
        <f t="shared" si="6"/>
        <v>0</v>
      </c>
      <c r="G26" s="26">
        <f t="shared" si="6"/>
        <v>0</v>
      </c>
      <c r="H26" s="27">
        <f t="shared" si="6"/>
        <v>0</v>
      </c>
      <c r="I26" s="44">
        <f t="shared" si="6"/>
        <v>0</v>
      </c>
      <c r="J26" s="45">
        <f t="shared" si="6"/>
        <v>0</v>
      </c>
    </row>
    <row r="28" spans="3:10" ht="15.75">
      <c r="E28" s="291" t="s">
        <v>22</v>
      </c>
      <c r="F28" s="293"/>
    </row>
    <row r="29" spans="3:10">
      <c r="E29" s="28" t="s">
        <v>100</v>
      </c>
      <c r="F29" s="29" t="str">
        <f>IF('TM-21 Inputs'!I23="","",((COUNTIF(E6:E25,"&gt;"&amp;0)*H26-(E26*G26))/((COUNTIF(E6:E25,"&gt;"&amp;0)*I26)-(E26^2))))</f>
        <v/>
      </c>
    </row>
    <row r="30" spans="3:10">
      <c r="E30" s="30" t="s">
        <v>101</v>
      </c>
      <c r="F30" s="31" t="str">
        <f>IF('TM-21 Inputs'!I23="","",(G26-(F29*E26))/COUNTIF(E6:E25,"&gt;"&amp;0))</f>
        <v/>
      </c>
    </row>
    <row r="31" spans="3:10">
      <c r="E31" s="32" t="s">
        <v>58</v>
      </c>
      <c r="F31" s="31" t="str">
        <f>IF('TM-21 Inputs'!I23="","",-F29)</f>
        <v/>
      </c>
    </row>
    <row r="32" spans="3:10">
      <c r="E32" s="30" t="s">
        <v>59</v>
      </c>
      <c r="F32" s="31" t="str">
        <f>IF('TM-21 Inputs'!I23="","",EXP(F30))</f>
        <v/>
      </c>
    </row>
    <row r="33" spans="5:6" ht="30" customHeight="1">
      <c r="E33" s="33" t="str">
        <f>CONCATENATE("Calculated L",'TM-21 Inputs'!I35," (hrs):")</f>
        <v>Calculated L90 (hrs):</v>
      </c>
      <c r="F33" s="34" t="str">
        <f>IF('TM-21 Inputs'!I23="","",ROUND((LN(F32/('TM-21 Inputs'!$I$35/100))/F31),-3))</f>
        <v/>
      </c>
    </row>
    <row r="34" spans="5:6" ht="30" customHeight="1">
      <c r="E34" s="35" t="str">
        <f>CONCATENATE("Reported L",'TM-21 Inputs'!I35," (hrs):")</f>
        <v>Reported L90 (hrs):</v>
      </c>
      <c r="F34" s="36" t="str">
        <f>IF('TM-21 Inputs'!I23="","",IF(OR(AND('TM-21 Inputs'!$I$18&gt;=20,$F$33&lt;6*'TM-21 Inputs'!$I$19),AND('TM-21 Inputs'!$I$18&gt;=10,'TM-21 Inputs'!$I$18&lt;=19,$F$33&lt;5.5*'TM-21 Inputs'!$I$19)),ROUND(F33,-3),IF('TM-21 Inputs'!$I$18&gt;=20,CONCATENATE("&gt;",ROUND((6*'TM-21 Inputs'!$I$19),-3)),IF(AND('TM-21 Inputs'!$I$18&gt;=10,'TM-21 Inputs'!$I$18&lt;=19),CONCATENATE("&gt;",ROUND((5.5*'TM-21 Inputs'!$I$19),-3)),"error"))))</f>
        <v/>
      </c>
    </row>
  </sheetData>
  <mergeCells count="2">
    <mergeCell ref="C4:J4"/>
    <mergeCell ref="E28:F28"/>
  </mergeCells>
  <phoneticPr fontId="42" type="noConversion"/>
  <pageMargins left="0.69930555555555596" right="0.69930555555555596" top="0.75" bottom="0.75" header="0.3" footer="0.3"/>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Nicole Osterthun | Koopman Interlight</cp:lastModifiedBy>
  <cp:lastPrinted>2015-08-28T14:01:00Z</cp:lastPrinted>
  <dcterms:created xsi:type="dcterms:W3CDTF">2011-11-01T14:53:00Z</dcterms:created>
  <dcterms:modified xsi:type="dcterms:W3CDTF">2023-11-13T09:13:15Z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